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AjIR8WaorMZbJLbmD8du7Ri+jk+JIDNO+ohyCsQIYCZvwpDfkDq51koR0KOeOUNpdBGdHv/Qa3Sy2zc8OUunLg==" workbookSaltValue="lC6uXcc6gcVGZWp1og2e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M18" i="2"/>
  <c r="E12" i="6"/>
  <c r="AP10" i="21"/>
  <c r="BH9" i="11"/>
  <c r="BJ15" i="11"/>
  <c r="AP15" i="20"/>
  <c r="R17" i="20"/>
  <c r="R18" i="20" s="1"/>
  <c r="T17" i="16"/>
  <c r="BU11" i="17"/>
  <c r="BU10" i="17"/>
  <c r="BW12" i="20"/>
  <c r="BW11" i="20"/>
  <c r="BW10" i="20"/>
  <c r="BU16" i="17"/>
  <c r="T13" i="16"/>
  <c r="AZ12" i="11"/>
  <c r="Q17" i="17"/>
  <c r="BI9" i="11"/>
  <c r="S10" i="17"/>
  <c r="Q15" i="17"/>
  <c r="BF15" i="11"/>
  <c r="AQ12" i="21"/>
  <c r="BL16" i="11"/>
  <c r="T13" i="20"/>
  <c r="S15" i="17"/>
  <c r="V10" i="16"/>
  <c r="BG15" i="13"/>
  <c r="BE15" i="13"/>
  <c r="W20" i="20"/>
  <c r="M20" i="20"/>
  <c r="AV20" i="20"/>
  <c r="AP20" i="20"/>
  <c r="AA20" i="20"/>
  <c r="C18" i="7" l="1"/>
  <c r="T19" i="8"/>
  <c r="AK19" i="8"/>
  <c r="AN12" i="11"/>
  <c r="F13" i="7"/>
  <c r="BG12" i="8"/>
  <c r="K12" i="7" s="1"/>
  <c r="AM11" i="11"/>
  <c r="X12"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Z11" i="11"/>
  <c r="S15" i="16"/>
  <c r="P15" i="17"/>
  <c r="BF12" i="11"/>
  <c r="BL15" i="11"/>
  <c r="BL10" i="11"/>
  <c r="BJ10" i="11"/>
  <c r="BK16" i="11"/>
  <c r="BH11" i="11"/>
  <c r="BG16" i="11"/>
  <c r="T11" i="11"/>
  <c r="BM9" i="11"/>
  <c r="BH12" i="16"/>
  <c r="BK10" i="11"/>
  <c r="X12" i="17"/>
  <c r="AA10" i="16"/>
  <c r="L12" i="2"/>
  <c r="U9" i="17"/>
  <c r="U19" i="17" s="1"/>
  <c r="L9" i="2"/>
  <c r="R17" i="14"/>
  <c r="T9" i="11"/>
  <c r="BF11" i="11"/>
  <c r="BH11" i="16"/>
  <c r="BL9" i="11"/>
  <c r="BH17" i="16"/>
  <c r="BG10" i="11"/>
  <c r="BM16" i="11"/>
  <c r="P17" i="17"/>
  <c r="BL17" i="11"/>
  <c r="BK12" i="11"/>
  <c r="BF10" i="11"/>
  <c r="BK9" i="11"/>
  <c r="AA15" i="16"/>
  <c r="V9" i="16"/>
  <c r="L16" i="2"/>
  <c r="L10" i="2"/>
  <c r="BJ16" i="11"/>
  <c r="BH16" i="11"/>
  <c r="BM17" i="11"/>
  <c r="BH10" i="16"/>
  <c r="AQ10" i="21"/>
  <c r="BH10" i="11"/>
  <c r="BG12" i="11"/>
  <c r="AZ16" i="11"/>
  <c r="BV9" i="16"/>
  <c r="V12" i="16"/>
  <c r="U10" i="17"/>
  <c r="BV11" i="16"/>
  <c r="BV12" i="16"/>
  <c r="BV17" i="16"/>
  <c r="T15" i="16"/>
  <c r="BK17" i="11"/>
  <c r="BG15" i="11"/>
  <c r="BJ12" i="11"/>
  <c r="BI15" i="11"/>
  <c r="BM12" i="11"/>
  <c r="BK11" i="11"/>
  <c r="BD12" i="13"/>
  <c r="BF16" i="13"/>
  <c r="BA18" i="13"/>
  <c r="BF15" i="13"/>
  <c r="AO12" i="11"/>
  <c r="S10" i="14"/>
  <c r="V10" i="14" s="1"/>
  <c r="S17" i="14"/>
  <c r="V17" i="14" s="1"/>
  <c r="BG15" i="8"/>
  <c r="R10" i="14"/>
  <c r="R12" i="14"/>
  <c r="AO17" i="11"/>
  <c r="F15" i="16"/>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BE13" i="13"/>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<sst xmlns="http://schemas.openxmlformats.org/spreadsheetml/2006/main" count="2102" uniqueCount="916">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</sst>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SCXfcPPGNGfqw64HCes7XMLrYTMhmM5hXittrS7m+piyA1C24+c8P+yC6qSuItb6JdoxnXRnqAr/hK84l7cqg==" saltValue="nC3iWTxnwDbSGOOIAlfU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8</v>
      </c>
      <c r="E10" s="226">
        <f>IF(ISNUMBER(Datos!J10),Datos!J10," - ")</f>
        <v>5</v>
      </c>
      <c r="F10" s="226">
        <f>IF(ISNUMBER(Datos!K10),Datos!K10," - ")</f>
        <v>4</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65.380794701986758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8</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364</v>
      </c>
      <c r="D16" s="225">
        <f>IF(ISNUMBER(IF(D_I="SI",Datos!I16,Datos!I16+Datos!AC16)),IF(D_I="SI",Datos!I16,Datos!I16+Datos!AC16)," - ")</f>
        <v>356</v>
      </c>
      <c r="E16" s="226">
        <f>IF(ISNUMBER(IF(D_I="SI",Datos!J16,Datos!J16+Datos!AD16)),IF(D_I="SI",Datos!J16,Datos!J16+Datos!AD16)," - ")</f>
        <v>182</v>
      </c>
      <c r="F16" s="226">
        <f>IF(ISNUMBER(IF(D_I="SI",Datos!K16,Datos!K16+Datos!AE16)),IF(D_I="SI",Datos!K16,Datos!K16+Datos!AE16)," - ")</f>
        <v>238</v>
      </c>
      <c r="G16" s="1034" t="str">
        <f>IF(Datos!E16&lt;&gt;"",Datos!E16,Datos!D16)</f>
        <v>04</v>
      </c>
      <c r="H16" s="227">
        <f>IF(ISNUMBER(IF(D_I="SI",Datos!L16,Datos!L16+Datos!AF16)),IF(D_I="SI",Datos!L16,Datos!L16+Datos!AF16)," - ")</f>
        <v>308</v>
      </c>
      <c r="I16" s="1044" t="str">
        <f>IF(ISNUMBER(Datos!AS16/Datos!BM16),Datos!AS16/Datos!BM16," - ")</f>
        <v xml:space="preserve"> - </v>
      </c>
      <c r="J16" s="1045">
        <f>IF(ISNUMBER(Datos!BY16/Datos!CN16),Datos!BY16/Datos!CN16," - ")</f>
        <v>0</v>
      </c>
      <c r="K16" s="230">
        <f t="shared" si="3"/>
        <v>-0.15384615384615385</v>
      </c>
      <c r="L16" s="1025">
        <f>IF(ISNUMBER(NºAsuntos!I16/NºAsuntos!G16),(NºAsuntos!I16/NºAsuntos!G16)*11," - ")</f>
        <v>14.23529411764706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18</v>
      </c>
      <c r="F17" s="226">
        <f>IF(ISNUMBER(IF(D_I="SI",Datos!K17,Datos!K17+Datos!AE17)),IF(D_I="SI",Datos!K17,Datos!K17+Datos!AE17)," - ")</f>
        <v>19</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-3.4482758620689655E-2</v>
      </c>
      <c r="L17" s="1025">
        <f>IF(ISNUMBER(NºAsuntos!I17/NºAsuntos!G17),(NºAsuntos!I17/NºAsuntos!G17)*11," - ")</f>
        <v>16.210526315789473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393</v>
      </c>
      <c r="D18" s="1049">
        <f>SUBTOTAL(9,D15:D17)</f>
        <v>385</v>
      </c>
      <c r="E18" s="1050">
        <f>SUBTOTAL(9,E15:E17)</f>
        <v>200</v>
      </c>
      <c r="F18" s="1050">
        <f>SUBTOTAL(9,F15:F17)</f>
        <v>257</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402</v>
      </c>
      <c r="D19" s="1071">
        <f>SUBTOTAL(9,D9:D18)</f>
        <v>393</v>
      </c>
      <c r="E19" s="1072">
        <f>SUBTOTAL(9,E9:E18)</f>
        <v>205</v>
      </c>
      <c r="F19" s="1072">
        <f>SUBTOTAL(9,F9:F18)</f>
        <v>261</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9YiSsRJx+Bzqdd9Z7ZZ+Gwid+pQLHLsjpfwSCqRYjwlQfFx4U18CamQ7g3/xLCISiJuHjrFklr+I4stapcehHw==" saltValue="n75EFpZNkTvx0D1AT5KrH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Vz1qnMzsldNd2gWL1ya/TTyTLptrGVM6Vs0ACdJD7yWO6K0ULPT+8hYpujxN+5nsLYFNuU45Mx6WrMf2obliQ==" saltValue="JYqM4hSb7U3O/PrM04om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v>
      </c>
      <c r="J10" s="181">
        <v>5</v>
      </c>
      <c r="K10" s="181">
        <v>4</v>
      </c>
      <c r="L10" s="181">
        <v>10</v>
      </c>
      <c r="M10" s="181">
        <v>4</v>
      </c>
      <c r="N10" s="181">
        <v>0</v>
      </c>
      <c r="O10" s="181">
        <v>0</v>
      </c>
      <c r="P10" s="181">
        <v>0</v>
      </c>
      <c r="Q10" s="181">
        <v>0</v>
      </c>
      <c r="R10" s="181">
        <v>1</v>
      </c>
      <c r="S10" s="181">
        <v>8</v>
      </c>
      <c r="T10" s="181">
        <v>5</v>
      </c>
      <c r="U10" s="181">
        <v>5</v>
      </c>
      <c r="V10" s="181">
        <v>8</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5</v>
      </c>
      <c r="BA10" s="129">
        <f t="shared" si="0"/>
        <v>5</v>
      </c>
      <c r="BB10" s="129">
        <f t="shared" si="0"/>
        <v>8</v>
      </c>
      <c r="BC10" s="125">
        <f t="shared" si="0"/>
        <v>2</v>
      </c>
      <c r="BD10" s="126">
        <f>IF(ISNUMBER(BA10/AZ10),BA10/AZ10," - ")</f>
        <v>1</v>
      </c>
      <c r="BE10" s="127">
        <f>IF(ISNUMBER(BB10/BA10),BB10/BA10, " - ")</f>
        <v>1.6</v>
      </c>
      <c r="BF10" s="127">
        <f>IF(ISNUMBER(BC10/BA10),BC10/BA10, " - ")</f>
        <v>0.4</v>
      </c>
      <c r="BG10" s="196">
        <f>IF(ISNUMBER((AY10+AZ10)/BA10),(AY10+AZ10)/BA10," - ")</f>
        <v>2.6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1882</v>
      </c>
      <c r="J12" s="183">
        <v>157</v>
      </c>
      <c r="K12" s="183">
        <v>287</v>
      </c>
      <c r="L12" s="183">
        <v>1752</v>
      </c>
      <c r="M12" s="183">
        <v>49</v>
      </c>
      <c r="N12" s="183">
        <v>158</v>
      </c>
      <c r="O12" s="181">
        <v>142</v>
      </c>
      <c r="P12" s="183">
        <v>81</v>
      </c>
      <c r="Q12" s="183">
        <v>93</v>
      </c>
      <c r="R12" s="183">
        <v>1710</v>
      </c>
      <c r="S12" s="183">
        <v>1068</v>
      </c>
      <c r="T12" s="183">
        <v>248</v>
      </c>
      <c r="U12" s="183">
        <v>185</v>
      </c>
      <c r="V12" s="183">
        <v>1131</v>
      </c>
      <c r="W12" s="183">
        <v>53</v>
      </c>
      <c r="X12" s="189">
        <v>61</v>
      </c>
      <c r="Y12" s="191">
        <v>45</v>
      </c>
      <c r="Z12" s="181">
        <v>13</v>
      </c>
      <c r="AA12" s="181">
        <v>15</v>
      </c>
      <c r="AB12" s="181">
        <v>43</v>
      </c>
      <c r="AC12" s="183">
        <v>0</v>
      </c>
      <c r="AD12" s="183">
        <v>0</v>
      </c>
      <c r="AE12" s="183">
        <v>0</v>
      </c>
      <c r="AF12" s="189">
        <v>0</v>
      </c>
      <c r="AG12" s="202">
        <v>24</v>
      </c>
      <c r="AH12" s="183">
        <v>15</v>
      </c>
      <c r="AI12" s="183">
        <v>16</v>
      </c>
      <c r="AJ12" s="203">
        <v>23</v>
      </c>
      <c r="AK12" s="182">
        <v>0</v>
      </c>
      <c r="AL12" s="183">
        <v>0</v>
      </c>
      <c r="AM12" s="183">
        <v>0</v>
      </c>
      <c r="AN12" s="189">
        <v>0</v>
      </c>
      <c r="AO12" s="259">
        <v>1</v>
      </c>
      <c r="AP12" s="155">
        <v>1</v>
      </c>
      <c r="AQ12" s="155">
        <v>1</v>
      </c>
      <c r="AR12" s="154">
        <v>1</v>
      </c>
      <c r="AS12" s="340" t="s">
        <v>794</v>
      </c>
      <c r="AT12" s="203"/>
      <c r="AU12" s="202"/>
      <c r="AV12" s="203"/>
      <c r="AW12" s="202"/>
      <c r="AX12" s="203"/>
      <c r="AY12" s="126">
        <f t="shared" si="1"/>
        <v>1092</v>
      </c>
      <c r="AZ12" s="127">
        <f t="shared" si="1"/>
        <v>263</v>
      </c>
      <c r="BA12" s="127">
        <f t="shared" si="1"/>
        <v>201</v>
      </c>
      <c r="BB12" s="127">
        <f t="shared" si="1"/>
        <v>1154</v>
      </c>
      <c r="BC12" s="125">
        <f>IF(ISNUMBER(X12),X12," - ")</f>
        <v>61</v>
      </c>
      <c r="BD12" s="126">
        <f t="shared" si="2"/>
        <v>0.76425855513307983</v>
      </c>
      <c r="BE12" s="127">
        <f t="shared" si="3"/>
        <v>5.7412935323383083</v>
      </c>
      <c r="BF12" s="127">
        <f t="shared" si="4"/>
        <v>0.30348258706467662</v>
      </c>
      <c r="BG12" s="196">
        <f t="shared" si="5"/>
        <v>6.7412935323383083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1890</v>
      </c>
      <c r="J13" s="184">
        <f t="shared" si="6"/>
        <v>162</v>
      </c>
      <c r="K13" s="184">
        <f t="shared" si="6"/>
        <v>291</v>
      </c>
      <c r="L13" s="184">
        <f t="shared" si="6"/>
        <v>1762</v>
      </c>
      <c r="M13" s="184">
        <f t="shared" si="6"/>
        <v>53</v>
      </c>
      <c r="N13" s="184">
        <f t="shared" si="6"/>
        <v>158</v>
      </c>
      <c r="O13" s="184">
        <f t="shared" si="6"/>
        <v>142</v>
      </c>
      <c r="P13" s="184">
        <f t="shared" si="6"/>
        <v>81</v>
      </c>
      <c r="Q13" s="184">
        <f t="shared" si="6"/>
        <v>93</v>
      </c>
      <c r="R13" s="184">
        <f t="shared" si="6"/>
        <v>1711</v>
      </c>
      <c r="S13" s="184">
        <f t="shared" si="6"/>
        <v>1076</v>
      </c>
      <c r="T13" s="184">
        <f t="shared" si="6"/>
        <v>253</v>
      </c>
      <c r="U13" s="184">
        <f t="shared" si="6"/>
        <v>190</v>
      </c>
      <c r="V13" s="184">
        <f t="shared" si="6"/>
        <v>1139</v>
      </c>
      <c r="W13" s="184">
        <f t="shared" si="6"/>
        <v>55</v>
      </c>
      <c r="X13" s="184">
        <f t="shared" si="6"/>
        <v>61</v>
      </c>
      <c r="Y13" s="184">
        <f t="shared" si="6"/>
        <v>45</v>
      </c>
      <c r="Z13" s="184">
        <f t="shared" si="6"/>
        <v>13</v>
      </c>
      <c r="AA13" s="184">
        <f t="shared" si="6"/>
        <v>15</v>
      </c>
      <c r="AB13" s="184">
        <f t="shared" si="6"/>
        <v>43</v>
      </c>
      <c r="AC13" s="184">
        <f t="shared" si="6"/>
        <v>0</v>
      </c>
      <c r="AD13" s="184">
        <f t="shared" si="6"/>
        <v>0</v>
      </c>
      <c r="AE13" s="184">
        <f t="shared" si="6"/>
        <v>0</v>
      </c>
      <c r="AF13" s="184">
        <f>SUBTOTAL(9,AF9:AF12)</f>
        <v>0</v>
      </c>
      <c r="AG13" s="184">
        <f t="shared" ref="AG13:AT13" si="7">SUBTOTAL(9,AG8:AG12)</f>
        <v>24</v>
      </c>
      <c r="AH13" s="184">
        <f t="shared" si="7"/>
        <v>15</v>
      </c>
      <c r="AI13" s="184">
        <f t="shared" si="7"/>
        <v>16</v>
      </c>
      <c r="AJ13" s="184">
        <f t="shared" si="7"/>
        <v>23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1100</v>
      </c>
      <c r="AZ13" s="184">
        <f>SUBTOTAL(9,AZ8:AZ12)</f>
        <v>268</v>
      </c>
      <c r="BA13" s="184">
        <f>SUBTOTAL(9,BA8:BA12)</f>
        <v>206</v>
      </c>
      <c r="BB13" s="184">
        <f>SUBTOTAL(9,BB8:BB12)</f>
        <v>1162</v>
      </c>
      <c r="BC13" s="184">
        <f>SUBTOTAL(9,BC8:BC12)</f>
        <v>63</v>
      </c>
      <c r="BD13" s="205">
        <f>IF(ISNUMBER(BA13/AZ13),BA13/AZ13," - ")</f>
        <v>0.76865671641791045</v>
      </c>
      <c r="BE13" s="206">
        <f>IF(ISNUMBER(BB13/BA13),BB13/BA13, " - ")</f>
        <v>5.6407766990291259</v>
      </c>
      <c r="BF13" s="206">
        <f>IF(ISNUMBER(BC13/BA13),BC13/BA13, " - ")</f>
        <v>0.30582524271844658</v>
      </c>
      <c r="BG13" s="207">
        <f>IF(ISNUMBER((AY13+AZ13)/BA13),(AY13+AZ13)/BA13," - ")</f>
        <v>6.6407766990291259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356</v>
      </c>
      <c r="J16" s="183">
        <v>182</v>
      </c>
      <c r="K16" s="183">
        <v>238</v>
      </c>
      <c r="L16" s="183">
        <v>308</v>
      </c>
      <c r="M16" s="183">
        <v>34</v>
      </c>
      <c r="N16" s="183">
        <v>169</v>
      </c>
      <c r="O16" s="181">
        <v>0</v>
      </c>
      <c r="P16" s="183">
        <v>12</v>
      </c>
      <c r="Q16" s="183">
        <v>0</v>
      </c>
      <c r="R16" s="183">
        <v>18</v>
      </c>
      <c r="S16" s="183">
        <v>301</v>
      </c>
      <c r="T16" s="183">
        <v>131</v>
      </c>
      <c r="U16" s="183">
        <v>115</v>
      </c>
      <c r="V16" s="183">
        <v>317</v>
      </c>
      <c r="W16" s="183">
        <v>24</v>
      </c>
      <c r="X16" s="189">
        <v>61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301</v>
      </c>
      <c r="AZ16" s="127">
        <f t="shared" si="9"/>
        <v>131</v>
      </c>
      <c r="BA16" s="127">
        <f t="shared" si="9"/>
        <v>115</v>
      </c>
      <c r="BB16" s="127">
        <f t="shared" si="9"/>
        <v>317</v>
      </c>
      <c r="BC16" s="125">
        <f>IF(ISNUMBER(W16),W16," - ")</f>
        <v>24</v>
      </c>
      <c r="BD16" s="126">
        <f t="shared" ref="BD16" si="11">IF(ISNUMBER(BA16/AZ16),BA16/AZ16," - ")</f>
        <v>0.87786259541984735</v>
      </c>
      <c r="BE16" s="127">
        <f t="shared" ref="BE16" si="12">IF(ISNUMBER(BB16/BA16),BB16/BA16, " - ")</f>
        <v>2.7565217391304349</v>
      </c>
      <c r="BF16" s="127">
        <f t="shared" ref="BF16" si="13">IF(ISNUMBER(BC16/BA16),BC16/BA16, " - ")</f>
        <v>0.20869565217391303</v>
      </c>
      <c r="BG16" s="196">
        <f t="shared" si="10"/>
        <v>3.7565217391304349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v>
      </c>
      <c r="J17" s="183">
        <v>18</v>
      </c>
      <c r="K17" s="183">
        <v>19</v>
      </c>
      <c r="L17" s="183">
        <v>28</v>
      </c>
      <c r="M17" s="183">
        <v>2</v>
      </c>
      <c r="N17" s="183">
        <v>9</v>
      </c>
      <c r="O17" s="183">
        <v>0</v>
      </c>
      <c r="P17" s="183">
        <v>0</v>
      </c>
      <c r="Q17" s="183">
        <v>0</v>
      </c>
      <c r="R17" s="183">
        <v>0</v>
      </c>
      <c r="S17" s="183">
        <v>23</v>
      </c>
      <c r="T17" s="183">
        <v>28</v>
      </c>
      <c r="U17" s="183">
        <v>23</v>
      </c>
      <c r="V17" s="183">
        <v>28</v>
      </c>
      <c r="W17" s="183">
        <v>5</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23</v>
      </c>
      <c r="AZ17" s="129">
        <f t="shared" si="14"/>
        <v>28</v>
      </c>
      <c r="BA17" s="129">
        <f t="shared" si="14"/>
        <v>23</v>
      </c>
      <c r="BB17" s="129">
        <f t="shared" si="14"/>
        <v>28</v>
      </c>
      <c r="BC17" s="125">
        <f>IF(ISNUMBER(W17),W17," - ")</f>
        <v>5</v>
      </c>
      <c r="BD17" s="126">
        <f>IF(ISNUMBER(BA17/AZ17),BA17/AZ17," - ")</f>
        <v>0.8214285714285714</v>
      </c>
      <c r="BE17" s="127">
        <f>IF(ISNUMBER(BB17/BA17),BB17/BA17, " - ")</f>
        <v>1.2173913043478262</v>
      </c>
      <c r="BF17" s="127">
        <f>IF(ISNUMBER(BC17/BA17),BC17/BA17, " - ")</f>
        <v>0.21739130434782608</v>
      </c>
      <c r="BG17" s="196">
        <f>IF(ISNUMBER((AY17+AZ17)/BA17),(AY17+AZ17)/BA17," - ")</f>
        <v>2.2173913043478262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385</v>
      </c>
      <c r="J18" s="184">
        <f t="shared" si="15"/>
        <v>200</v>
      </c>
      <c r="K18" s="184">
        <f t="shared" si="15"/>
        <v>257</v>
      </c>
      <c r="L18" s="184">
        <f t="shared" si="15"/>
        <v>336</v>
      </c>
      <c r="M18" s="184">
        <f t="shared" si="15"/>
        <v>36</v>
      </c>
      <c r="N18" s="184">
        <f t="shared" si="15"/>
        <v>178</v>
      </c>
      <c r="O18" s="184">
        <f t="shared" si="15"/>
        <v>0</v>
      </c>
      <c r="P18" s="184">
        <f t="shared" si="15"/>
        <v>12</v>
      </c>
      <c r="Q18" s="184">
        <f t="shared" si="15"/>
        <v>0</v>
      </c>
      <c r="R18" s="184">
        <f t="shared" si="15"/>
        <v>18</v>
      </c>
      <c r="S18" s="184">
        <f t="shared" si="15"/>
        <v>324</v>
      </c>
      <c r="T18" s="184">
        <f t="shared" si="15"/>
        <v>159</v>
      </c>
      <c r="U18" s="184">
        <f t="shared" si="15"/>
        <v>138</v>
      </c>
      <c r="V18" s="184">
        <f t="shared" si="15"/>
        <v>345</v>
      </c>
      <c r="W18" s="184">
        <f t="shared" si="15"/>
        <v>29</v>
      </c>
      <c r="X18" s="184">
        <f t="shared" si="15"/>
        <v>68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324</v>
      </c>
      <c r="AZ18" s="184">
        <f>SUBTOTAL(9,AZ14:AZ17)</f>
        <v>159</v>
      </c>
      <c r="BA18" s="184">
        <f>SUBTOTAL(9,BA14:BA17)</f>
        <v>138</v>
      </c>
      <c r="BB18" s="184">
        <f>SUBTOTAL(9,BB14:BB17)</f>
        <v>345</v>
      </c>
      <c r="BC18" s="184">
        <f>SUBTOTAL(9,BC14:BC17)</f>
        <v>29</v>
      </c>
      <c r="BD18" s="205">
        <f>IF(ISNUMBER(BA18/AZ18),BA18/AZ18," - ")</f>
        <v>0.86792452830188682</v>
      </c>
      <c r="BE18" s="206">
        <f>IF(ISNUMBER(BB18/BA18),BB18/BA18, " - ")</f>
        <v>2.5</v>
      </c>
      <c r="BF18" s="206">
        <f>IF(ISNUMBER(BC18/BA18),BC18/BA18, " - ")</f>
        <v>0.21014492753623187</v>
      </c>
      <c r="BG18" s="207">
        <f>IF(ISNUMBER((AY18+AZ18)/BA18),(AY18+AZ18)/BA18," - ")</f>
        <v>3.5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2275</v>
      </c>
      <c r="J19" s="134">
        <f t="shared" si="18"/>
        <v>362</v>
      </c>
      <c r="K19" s="134">
        <f t="shared" si="18"/>
        <v>548</v>
      </c>
      <c r="L19" s="134">
        <f t="shared" si="18"/>
        <v>2098</v>
      </c>
      <c r="M19" s="134">
        <f t="shared" si="18"/>
        <v>89</v>
      </c>
      <c r="N19" s="134">
        <f t="shared" si="18"/>
        <v>336</v>
      </c>
      <c r="O19" s="134">
        <f t="shared" si="18"/>
        <v>142</v>
      </c>
      <c r="P19" s="134">
        <f t="shared" si="18"/>
        <v>93</v>
      </c>
      <c r="Q19" s="134">
        <f t="shared" si="18"/>
        <v>93</v>
      </c>
      <c r="R19" s="134">
        <f t="shared" si="18"/>
        <v>1729</v>
      </c>
      <c r="S19" s="134">
        <f t="shared" si="18"/>
        <v>1400</v>
      </c>
      <c r="T19" s="134">
        <f t="shared" si="18"/>
        <v>412</v>
      </c>
      <c r="U19" s="134">
        <f t="shared" si="18"/>
        <v>328</v>
      </c>
      <c r="V19" s="134">
        <f t="shared" si="18"/>
        <v>1484</v>
      </c>
      <c r="W19" s="134">
        <f t="shared" si="18"/>
        <v>84</v>
      </c>
      <c r="X19" s="134">
        <f t="shared" si="18"/>
        <v>129</v>
      </c>
      <c r="Y19" s="134">
        <f t="shared" si="18"/>
        <v>45</v>
      </c>
      <c r="Z19" s="134">
        <f t="shared" si="18"/>
        <v>13</v>
      </c>
      <c r="AA19" s="134">
        <f t="shared" si="18"/>
        <v>15</v>
      </c>
      <c r="AB19" s="134">
        <f t="shared" si="18"/>
        <v>43</v>
      </c>
      <c r="AC19" s="134">
        <f t="shared" si="18"/>
        <v>0</v>
      </c>
      <c r="AD19" s="134">
        <f t="shared" si="18"/>
        <v>0</v>
      </c>
      <c r="AE19" s="134">
        <f t="shared" si="18"/>
        <v>0</v>
      </c>
      <c r="AF19" s="134">
        <f t="shared" si="18"/>
        <v>0</v>
      </c>
      <c r="AG19" s="134">
        <f t="shared" si="18"/>
        <v>24</v>
      </c>
      <c r="AH19" s="134">
        <f t="shared" si="18"/>
        <v>15</v>
      </c>
      <c r="AI19" s="134">
        <f t="shared" si="18"/>
        <v>16</v>
      </c>
      <c r="AJ19" s="134">
        <f t="shared" si="18"/>
        <v>23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1424</v>
      </c>
      <c r="AZ19" s="134">
        <f>SUBTOTAL(9,AZ9:AZ18)</f>
        <v>427</v>
      </c>
      <c r="BA19" s="134">
        <f>SUBTOTAL(9,BA9:BA18)</f>
        <v>344</v>
      </c>
      <c r="BB19" s="134">
        <f>SUBTOTAL(9,BB9:BB18)</f>
        <v>1507</v>
      </c>
      <c r="BC19" s="135">
        <f>SUBTOTAL(9,BC9:BC18)</f>
        <v>92</v>
      </c>
      <c r="BD19" s="213">
        <f>IF(ISNUMBER(BA19/AZ19),BA19/AZ19," - ")</f>
        <v>0.80562060889929743</v>
      </c>
      <c r="BE19" s="210">
        <f>IF(ISNUMBER(BB19/BA19),BB19/BA19, " - ")</f>
        <v>4.3808139534883717</v>
      </c>
      <c r="BF19" s="210">
        <f>IF(ISNUMBER(BC19/BA19),BC19/BA19, " - ")</f>
        <v>0.26744186046511625</v>
      </c>
      <c r="BG19" s="135">
        <f>IF(ISNUMBER((AY19+AZ19)/BA19),(AY19+AZ19)/BA19," - ")</f>
        <v>5.3808139534883717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TO4+b05ZSU5ofGR81q8zxYVdNhMV2OgDJIHEcedFRZ6XncOgaAmlHnzXffw1W6PwtoswwXBu8NsSJ7n9GqYyA==" saltValue="G3npKEU641TR5K3DrS5t2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tgKPLr5BJtKQy4yZXuLikT7m5zVBn1RjLW5aryo6MEaEaurNL/nrOLrJYsZ4NBoP0IskDiZO00ZVnERvGZouQ==" saltValue="uI3gVceExvfz2I5BHmyHE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PURCHENA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10</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81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1710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v>
      </c>
      <c r="BD12" s="229">
        <f>IF(ISNUMBER(Datos!N12),Datos!N12," - ")</f>
        <v>158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1.776470588235294</v>
      </c>
      <c r="BH12" s="260">
        <f>IF(ISNUMBER(((IF(J_V="SI",Datos!L12/Datos!K12,(Datos!L12+Datos!AB12)/(Datos!K12+Datos!AA12)))*11)/factor_trimestre),((IF(J_V="SI",Datos!L12/Datos!K12,(Datos!L12+Datos!AB12)/(Datos!K12+Datos!AA12)))*11)/factor_trimestre," - ")</f>
        <v>17.831125827814571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-6.9686411149825784E-3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9</v>
      </c>
      <c r="G13" s="898">
        <f t="shared" si="0"/>
        <v>8</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93</v>
      </c>
      <c r="AD13" s="899">
        <f t="shared" si="1"/>
        <v>0</v>
      </c>
      <c r="AE13" s="899">
        <f t="shared" si="1"/>
        <v>0</v>
      </c>
      <c r="AF13" s="899">
        <f t="shared" si="1"/>
        <v>10</v>
      </c>
      <c r="AG13" s="899">
        <f t="shared" si="1"/>
        <v>0</v>
      </c>
      <c r="AH13" s="899">
        <f t="shared" si="1"/>
        <v>43</v>
      </c>
      <c r="AI13" s="899">
        <f t="shared" si="1"/>
        <v>0</v>
      </c>
      <c r="AJ13" s="899">
        <f t="shared" si="1"/>
        <v>0</v>
      </c>
      <c r="AK13" s="899">
        <f t="shared" si="1"/>
        <v>0</v>
      </c>
      <c r="AL13" s="899">
        <f t="shared" si="1"/>
        <v>0</v>
      </c>
      <c r="AM13" s="899">
        <f t="shared" si="1"/>
        <v>1711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v>
      </c>
      <c r="BD13" s="899">
        <f t="shared" si="1"/>
        <v>158</v>
      </c>
      <c r="BE13" s="899">
        <f t="shared" si="1"/>
        <v>0</v>
      </c>
      <c r="BF13" s="899">
        <f t="shared" si="1"/>
        <v>0</v>
      </c>
      <c r="BG13" s="899">
        <f>IF(ISNUMBER(Datos!K13/Datos!J13),Datos!K13/Datos!J13," - ")</f>
        <v>1.7962962962962963</v>
      </c>
      <c r="BH13" s="903">
        <f>IF(ISNUMBER(((Datos!L13/Datos!K13)*11)/factor_trimestre),((Datos!L13/Datos!K13)*11)/factor_trimestre," - ")</f>
        <v>18.164948453608247</v>
      </c>
      <c r="BI13" s="899">
        <f>IF(ISNUMBER('Resol  Asuntos'!D13/NºAsuntos!G13),'Resol  Asuntos'!D13/NºAsuntos!G13," - ")</f>
        <v>0.17320261437908496</v>
      </c>
      <c r="BJ13" s="899" t="str">
        <f>IF(ISNUMBER(Datos!CI13/Datos!CJ13),Datos!CI13/Datos!CJ13," - ")</f>
        <v xml:space="preserve"> - </v>
      </c>
      <c r="BK13" s="899">
        <f>SUBTOTAL(9,BK8:BK12)</f>
        <v>0</v>
      </c>
      <c r="BL13" s="899">
        <f>IF(ISNUMBER((I13-AB13+L13)/(F13)),(I13-AB13+L13)/(F13)," - ")</f>
        <v>-0.44444444444444442</v>
      </c>
      <c r="BM13" s="904">
        <f>SUBTOTAL(9,BM9:BM12)</f>
        <v>-6.9686411149825784E-3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364</v>
      </c>
      <c r="G16" s="598">
        <f>IF(ISNUMBER(IF(D_I="SI",Datos!I16,Datos!I16+Datos!AC16)),IF(D_I="SI",Datos!I16,Datos!I16+Datos!AC16)," - ")</f>
        <v>356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238</v>
      </c>
      <c r="AC16" s="226">
        <f>IF(ISNUMBER(Datos!Q16),Datos!Q16," - ")</f>
        <v>0</v>
      </c>
      <c r="AD16" s="334"/>
      <c r="AE16" s="484"/>
      <c r="AF16" s="596">
        <f>IF(ISNUMBER(IF(D_I="SI",Datos!L16,Datos!L16+Datos!AF16)),IF(D_I="SI",Datos!L16,Datos!L16+Datos!AF16)," - ")</f>
        <v>308</v>
      </c>
      <c r="AG16" s="334"/>
      <c r="AH16" s="334"/>
      <c r="AI16" s="334"/>
      <c r="AJ16" s="334"/>
      <c r="AK16" s="334"/>
      <c r="AL16" s="479"/>
      <c r="AM16" s="335">
        <f>IF(ISNUMBER(Datos!R16),Datos!R16," - ")</f>
        <v>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1.3076923076923077</v>
      </c>
      <c r="BH16" s="260">
        <f>IF(ISNUMBER(((IF(D_I="SI",Datos!L16/Datos!K16,(Datos!L16+Datos!AF16)/(Datos!K16+Datos!AE16)))*11)/factor_trimestre),((IF(D_I="SI",Datos!L16/Datos!K16,(Datos!L16+Datos!AF16)/(Datos!K16+Datos!AE16)))*11)/factor_trimestre," - ")</f>
        <v>3.882352941176471</v>
      </c>
      <c r="BI16" s="243">
        <f>IF(ISNUMBER('Resol  Asuntos'!D16/NºAsuntos!G16),'Resol  Asuntos'!D16/NºAsuntos!G16," - ")</f>
        <v>0.14285714285714285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1.0555555555555556</v>
      </c>
      <c r="BH17" s="260">
        <f>IF(ISNUMBER(((IF(D_I="SI",Datos!L17/Datos!K17,(Datos!L17+Datos!AF17)/(Datos!K17+Datos!AE17)))*11)/factor_trimestre),((IF(D_I="SI",Datos!L17/Datos!K17,(Datos!L17+Datos!AF17)/(Datos!K17+Datos!AE17)))*11)/factor_trimestre," - ")</f>
        <v>4.4210526315789469</v>
      </c>
      <c r="BI17" s="243">
        <f>IF(ISNUMBER('Resol  Asuntos'!D17/NºAsuntos!G17),'Resol  Asuntos'!D17/NºAsuntos!G17," - ")</f>
        <v>0.10526315789473684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364</v>
      </c>
      <c r="G18" s="898">
        <f>SUBTOTAL(9,G15:G17)</f>
        <v>385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257</v>
      </c>
      <c r="AC18" s="899">
        <f t="shared" si="4"/>
        <v>0</v>
      </c>
      <c r="AD18" s="899">
        <f t="shared" si="4"/>
        <v>0</v>
      </c>
      <c r="AE18" s="899">
        <f t="shared" si="4"/>
        <v>0</v>
      </c>
      <c r="AF18" s="899">
        <f t="shared" si="4"/>
        <v>336</v>
      </c>
      <c r="AG18" s="899">
        <f t="shared" si="4"/>
        <v>0</v>
      </c>
      <c r="AH18" s="899">
        <f t="shared" si="4"/>
        <v>0</v>
      </c>
      <c r="AI18" s="899">
        <f t="shared" si="4"/>
        <v>0</v>
      </c>
      <c r="AJ18" s="899">
        <f t="shared" si="4"/>
        <v>0</v>
      </c>
      <c r="AK18" s="899">
        <f t="shared" si="4"/>
        <v>0</v>
      </c>
      <c r="AL18" s="899">
        <f t="shared" si="4"/>
        <v>0</v>
      </c>
      <c r="AM18" s="899">
        <f t="shared" si="4"/>
        <v>18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v>
      </c>
      <c r="BD18" s="899">
        <f t="shared" si="4"/>
        <v>178</v>
      </c>
      <c r="BE18" s="899">
        <f t="shared" si="4"/>
        <v>0</v>
      </c>
      <c r="BF18" s="899">
        <f t="shared" si="4"/>
        <v>0</v>
      </c>
      <c r="BG18" s="899">
        <f>IF(ISNUMBER(Datos!K18/Datos!J18),Datos!K18/Datos!J18," - ")</f>
        <v>1.2849999999999999</v>
      </c>
      <c r="BH18" s="903">
        <f>IF(ISNUMBER(((Datos!L18/Datos!K18)*11)/factor_trimestre),((Datos!L18/Datos!K18)*11)/factor_trimestre," - ")</f>
        <v>3.9221789883268485</v>
      </c>
      <c r="BI18" s="899">
        <f>SUBTOTAL(9,BI15:BI17)</f>
        <v>0.24812030075187969</v>
      </c>
      <c r="BJ18" s="899">
        <f>SUBTOTAL(9,BJ15:BJ17)</f>
        <v>0</v>
      </c>
      <c r="BK18" s="899">
        <f>SUBTOTAL(9,BK15:BK17)</f>
        <v>0</v>
      </c>
      <c r="BL18" s="899">
        <f>IF(ISNUMBER((I18-AB18+L18)/(F18)),(I18-AB18+L18)/(F18)," - ")</f>
        <v>-0.70604395604395609</v>
      </c>
      <c r="BM18" s="905">
        <f>IF(ISNUMBER((Datos!P18-Datos!Q18)/(Datos!R18-Datos!P18+Datos!Q18)),(Datos!P18-Datos!Q18)/(Datos!R18-Datos!P18+Datos!Q18)," - ")</f>
        <v>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373</v>
      </c>
      <c r="G19" s="820">
        <f t="shared" si="6"/>
        <v>393</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93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261</v>
      </c>
      <c r="AC19" s="821">
        <f t="shared" si="7"/>
        <v>93</v>
      </c>
      <c r="AD19" s="821">
        <f t="shared" si="7"/>
        <v>0</v>
      </c>
      <c r="AE19" s="821">
        <f t="shared" si="7"/>
        <v>0</v>
      </c>
      <c r="AF19" s="828">
        <f t="shared" si="7"/>
        <v>346</v>
      </c>
      <c r="AG19" s="828">
        <f t="shared" si="7"/>
        <v>0</v>
      </c>
      <c r="AH19" s="828">
        <f t="shared" si="7"/>
        <v>43</v>
      </c>
      <c r="AI19" s="828">
        <f t="shared" si="7"/>
        <v>0</v>
      </c>
      <c r="AJ19" s="821">
        <f t="shared" si="7"/>
        <v>0</v>
      </c>
      <c r="AK19" s="828">
        <f t="shared" si="7"/>
        <v>0</v>
      </c>
      <c r="AL19" s="828">
        <f t="shared" si="7"/>
        <v>0</v>
      </c>
      <c r="AM19" s="828">
        <f t="shared" si="7"/>
        <v>1729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89</v>
      </c>
      <c r="BD19" s="820">
        <f t="shared" si="7"/>
        <v>336</v>
      </c>
      <c r="BE19" s="820">
        <f t="shared" si="7"/>
        <v>0</v>
      </c>
      <c r="BF19" s="830">
        <f t="shared" si="7"/>
        <v>0</v>
      </c>
      <c r="BG19" s="915">
        <f>IF(ISNUMBER(Datos!K19/Datos!J19),Datos!K19/Datos!J19," - ")</f>
        <v>1.5138121546961325</v>
      </c>
      <c r="BH19" s="915">
        <f>IF(ISNUMBER(((Datos!L19/Datos!K19)*11)/factor_trimestre),((Datos!L19/Datos!K19)*11)/factor_trimestre," - ")</f>
        <v>11.485401459854014</v>
      </c>
      <c r="BI19" s="813">
        <f>IF(ISNUMBER(Datos!J19/Datos!I19),Datos!J19/Datos!I19," - ")</f>
        <v>0.15912087912087913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-0.69973190348525471</v>
      </c>
      <c r="BM19" s="889">
        <f>IF(ISNUMBER((Datos!P19-Datos!Q19+R19)/(Datos!R19-Datos!P19+Datos!Q19-R19)),(Datos!P19-Datos!Q19+R19)/(Datos!R19-Datos!P19+Datos!Q19-R19)," - ")</f>
        <v>0</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157.19999999999999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204.95934556231714</v>
      </c>
      <c r="G21" s="552">
        <f>IF(ISNUMBER(STDEV(G8:G18)),STDEV(G8:G18),"-")</f>
        <v>195.17351254716917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130.94769948341971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21.914987261384994</v>
      </c>
      <c r="BD21" s="551"/>
      <c r="BE21" s="551">
        <f>IF(ISNUMBER(STDEV(BE8:BE18)),STDEV(BE8:BE18),"-")</f>
        <v>0</v>
      </c>
      <c r="BF21" s="556">
        <f>IF(ISNUMBER(STDEV(BF8:BF18)),STDEV(BF8:BF18),"-")</f>
        <v>0</v>
      </c>
      <c r="BG21" s="775">
        <f>IF(ISNUMBER(STDEV(BG8:BG18)),STDEV(BG8:BG18),"-")</f>
        <v>0.39375887039289142</v>
      </c>
      <c r="BH21" s="776">
        <f>IF(ISNUMBER(STDEV(BH8:BH18)),STDEV(BH8:BH18),"-")</f>
        <v>6.8801508994648986</v>
      </c>
      <c r="BI21" s="249">
        <f>IF(ISNUMBER(STDEV(BI8:BI18)),STDEV(BI8:BI18),"-")</f>
        <v>6.058814549987078E-2</v>
      </c>
      <c r="BJ21" s="230" t="str">
        <f>IF(ISNUMBER(BL21/BM21),BL21/BM21," - ")</f>
        <v xml:space="preserve"> - </v>
      </c>
      <c r="BK21" s="575"/>
      <c r="BL21" s="559">
        <f>IF(ISNUMBER(STDEV(BL8:BL18)),STDEV(BL8:BL18),"-")</f>
        <v>0.18497878860710404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WaHc1likcakqVOcKvbE9cAcnSv0Cn44Vggtx5MCNQ/Xht7Q1c/9XxwB/DeePBZYWoFYXV04sKQHA7PhzzQZ/A==" saltValue="nxBGKTlq4Rrg/o8opfdW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PURCHENA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10</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93</v>
      </c>
      <c r="AA12" s="332" t="str">
        <f>IF(ISNUMBER(IF(J_V="SI",Datos!L12,Datos!L12+Datos!AB12)-IF(Monitorios="SI",Datos!CD12,0)),
                          IF(J_V="SI",Datos!L12,Datos!L12+Datos!AB12)-IF(Monitorios="SI",Datos!CD12,0),
                          " - ")</f>
        <v xml:space="preserve"> - </v>
      </c>
      <c r="AB12" s="334"/>
      <c r="AC12" s="334"/>
      <c r="AD12" s="484"/>
      <c r="AE12" s="484">
        <f>IF(ISNUMBER(Datos!R12),Datos!R12," - ")</f>
        <v>1710</v>
      </c>
      <c r="AF12" s="229" t="str">
        <f>IF(ISNUMBER(Datos!BV12),Datos!BV12," - ")</f>
        <v xml:space="preserve"> - </v>
      </c>
      <c r="AG12" s="225" t="str">
        <f>IF(ISNUMBER(Datos!DV12),Datos!DV12," - ")</f>
        <v xml:space="preserve"> - </v>
      </c>
      <c r="AH12" s="298"/>
      <c r="AI12" s="227"/>
      <c r="AJ12" s="225">
        <f>IF(ISNUMBER(Datos!M12),Datos!M12," - ")</f>
        <v>49</v>
      </c>
      <c r="AK12" s="229">
        <f>IF(ISNUMBER(Datos!N12),Datos!N12," - ")</f>
        <v>158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17.831125827814571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-6.9686411149825784E-3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9</v>
      </c>
      <c r="G13" s="898">
        <f>SUBTOTAL(9,G8:G12)</f>
        <v>8</v>
      </c>
      <c r="H13" s="908"/>
      <c r="I13" s="898">
        <f t="shared" ref="I13:N13" si="0">SUBTOTAL(9,I8:I12)</f>
        <v>0</v>
      </c>
      <c r="J13" s="867">
        <f t="shared" si="0"/>
        <v>0</v>
      </c>
      <c r="K13" s="908">
        <f t="shared" si="0"/>
        <v>0</v>
      </c>
      <c r="L13" s="908">
        <f t="shared" si="0"/>
        <v>0</v>
      </c>
      <c r="M13" s="908">
        <f t="shared" si="0"/>
        <v>0</v>
      </c>
      <c r="N13" s="908">
        <f t="shared" si="0"/>
        <v>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93</v>
      </c>
      <c r="AA13" s="900">
        <f t="shared" si="2"/>
        <v>10</v>
      </c>
      <c r="AB13" s="900">
        <f t="shared" si="2"/>
        <v>0</v>
      </c>
      <c r="AC13" s="900">
        <f t="shared" si="2"/>
        <v>0</v>
      </c>
      <c r="AD13" s="900">
        <f t="shared" si="2"/>
        <v>0</v>
      </c>
      <c r="AE13" s="900">
        <f t="shared" si="2"/>
        <v>1711</v>
      </c>
      <c r="AF13" s="908">
        <f t="shared" si="2"/>
        <v>0</v>
      </c>
      <c r="AG13" s="908">
        <f t="shared" si="2"/>
        <v>0</v>
      </c>
      <c r="AH13" s="908">
        <f t="shared" si="2"/>
        <v>0</v>
      </c>
      <c r="AI13" s="908">
        <f t="shared" si="2"/>
        <v>0</v>
      </c>
      <c r="AJ13" s="908">
        <f t="shared" si="2"/>
        <v>53</v>
      </c>
      <c r="AK13" s="908">
        <f t="shared" si="2"/>
        <v>158</v>
      </c>
      <c r="AL13" s="908">
        <f t="shared" si="2"/>
        <v>0</v>
      </c>
      <c r="AM13" s="908">
        <f t="shared" si="2"/>
        <v>0</v>
      </c>
      <c r="AN13" s="908">
        <f t="shared" si="2"/>
        <v>0</v>
      </c>
      <c r="AO13" s="904">
        <f>IF(ISNUMBER(((NºAsuntos!I13/NºAsuntos!G13)*11)/factor_trimestre),((NºAsuntos!I13/NºAsuntos!G13)*11)/factor_trimestre," - ")</f>
        <v>17.696078431372552</v>
      </c>
      <c r="AP13" s="910" t="str">
        <f>IF(ISNUMBER(Datos!CI13/Datos!CJ13),Datos!CI13/Datos!CJ13," - ")</f>
        <v xml:space="preserve"> - </v>
      </c>
      <c r="AQ13" s="928">
        <f t="shared" ref="AQ13:AV13" si="3">SUBTOTAL(9,AQ9:AQ12)</f>
        <v>0</v>
      </c>
      <c r="AR13" s="928">
        <f t="shared" si="3"/>
        <v>-6.9686411149825784E-3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364</v>
      </c>
      <c r="G16" s="225">
        <f>IF(ISNUMBER(IF(D_I="SI",Datos!I16,Datos!I16+Datos!AC16)),IF(D_I="SI",Datos!I16,Datos!I16+Datos!AC16)," - ")</f>
        <v>356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238</v>
      </c>
      <c r="Z16" s="619">
        <f>IF(ISNUMBER(Datos!Q16),Datos!Q16," - ")</f>
        <v>0</v>
      </c>
      <c r="AA16" s="332">
        <f>IF(ISNUMBER(IF(D_I="SI",Datos!L16,Datos!L16+Datos!AF16)),IF(D_I="SI",Datos!L16,Datos!L16+Datos!AF16)," - ")</f>
        <v>308</v>
      </c>
      <c r="AB16" s="334"/>
      <c r="AC16" s="334"/>
      <c r="AD16" s="484"/>
      <c r="AE16" s="484">
        <f>IF(ISNUMBER(Datos!R16),Datos!R16," - ")</f>
        <v>18</v>
      </c>
      <c r="AF16" s="229" t="str">
        <f>IF(ISNUMBER(Datos!BV16),Datos!BV16," - ")</f>
        <v xml:space="preserve"> - </v>
      </c>
      <c r="AG16" s="225"/>
      <c r="AH16" s="298"/>
      <c r="AI16" s="227"/>
      <c r="AJ16" s="225">
        <f>IF(ISNUMBER(Datos!M16),Datos!M16," - ")</f>
        <v>34</v>
      </c>
      <c r="AK16" s="229">
        <f>IF(ISNUMBER(Datos!N16),Datos!N16," - ")</f>
        <v>169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3.882352941176471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4.4210526315789469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364</v>
      </c>
      <c r="G18" s="898">
        <f>SUBTOTAL(9,G15:G17)</f>
        <v>385</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257</v>
      </c>
      <c r="Z18" s="932">
        <f t="shared" si="5"/>
        <v>0</v>
      </c>
      <c r="AA18" s="932">
        <f t="shared" si="5"/>
        <v>336</v>
      </c>
      <c r="AB18" s="932">
        <f t="shared" si="5"/>
        <v>0</v>
      </c>
      <c r="AC18" s="932">
        <f t="shared" si="5"/>
        <v>0</v>
      </c>
      <c r="AD18" s="932">
        <f t="shared" si="5"/>
        <v>0</v>
      </c>
      <c r="AE18" s="932">
        <f t="shared" si="5"/>
        <v>18</v>
      </c>
      <c r="AF18" s="932">
        <f t="shared" si="5"/>
        <v>0</v>
      </c>
      <c r="AG18" s="932">
        <f t="shared" si="5"/>
        <v>0</v>
      </c>
      <c r="AH18" s="932">
        <f t="shared" si="5"/>
        <v>0</v>
      </c>
      <c r="AI18" s="932">
        <f t="shared" si="5"/>
        <v>0</v>
      </c>
      <c r="AJ18" s="932">
        <f t="shared" si="5"/>
        <v>36</v>
      </c>
      <c r="AK18" s="932">
        <f t="shared" si="5"/>
        <v>178</v>
      </c>
      <c r="AL18" s="932">
        <f t="shared" si="5"/>
        <v>0</v>
      </c>
      <c r="AM18" s="932">
        <f t="shared" si="5"/>
        <v>0</v>
      </c>
      <c r="AN18" s="932">
        <f t="shared" si="5"/>
        <v>0</v>
      </c>
      <c r="AO18" s="934">
        <f>IF(ISNUMBER(((NºAsuntos!I18/NºAsuntos!G18)*11)/factor_trimestre),((NºAsuntos!I18/NºAsuntos!G18)*11)/factor_trimestre," - ")</f>
        <v>3.9221789883268485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373</v>
      </c>
      <c r="G19" s="820">
        <f t="shared" si="7"/>
        <v>393</v>
      </c>
      <c r="H19" s="821">
        <f t="shared" si="7"/>
        <v>0</v>
      </c>
      <c r="I19" s="820">
        <f t="shared" si="7"/>
        <v>0</v>
      </c>
      <c r="J19" s="822">
        <f t="shared" si="7"/>
        <v>0</v>
      </c>
      <c r="K19" s="820">
        <f t="shared" si="7"/>
        <v>0</v>
      </c>
      <c r="L19" s="823">
        <f t="shared" si="7"/>
        <v>0</v>
      </c>
      <c r="M19" s="820">
        <f t="shared" si="7"/>
        <v>0</v>
      </c>
      <c r="N19" s="821">
        <f t="shared" si="7"/>
        <v>93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261</v>
      </c>
      <c r="Z19" s="827">
        <f t="shared" si="8"/>
        <v>93</v>
      </c>
      <c r="AA19" s="828">
        <f t="shared" si="8"/>
        <v>346</v>
      </c>
      <c r="AB19" s="828">
        <f t="shared" si="8"/>
        <v>0</v>
      </c>
      <c r="AC19" s="828">
        <f t="shared" si="8"/>
        <v>0</v>
      </c>
      <c r="AD19" s="829">
        <f t="shared" si="8"/>
        <v>0</v>
      </c>
      <c r="AE19" s="829">
        <f t="shared" si="8"/>
        <v>1729</v>
      </c>
      <c r="AF19" s="830">
        <f t="shared" si="8"/>
        <v>0</v>
      </c>
      <c r="AG19" s="831">
        <f t="shared" si="8"/>
        <v>0</v>
      </c>
      <c r="AH19" s="832">
        <f t="shared" si="8"/>
        <v>0</v>
      </c>
      <c r="AI19" s="830">
        <f t="shared" si="8"/>
        <v>0</v>
      </c>
      <c r="AJ19" s="820">
        <f t="shared" si="8"/>
        <v>89</v>
      </c>
      <c r="AK19" s="820">
        <f t="shared" si="8"/>
        <v>336</v>
      </c>
      <c r="AL19" s="820">
        <f t="shared" si="8"/>
        <v>0</v>
      </c>
      <c r="AM19" s="833">
        <f t="shared" si="8"/>
        <v>0</v>
      </c>
      <c r="AN19" s="823">
        <f>IF(ISNUMBER(Datos!K19/Datos!J19),Datos!K19/Datos!J19," - ")</f>
        <v>1.5138121546961325</v>
      </c>
      <c r="AO19" s="823">
        <f>IF(ISNUMBER(FIND("06",Criterios!A8,1)),(IF(ISNUMBER(((Datos!R19/Datos!Q19)*11)/factor_trimestre),((Datos!R19/Datos!Q19)*11)/factor_trimestre," - ")),(IF(ISNUMBER(((Datos!L19/Datos!K19)*11)/factor_trimestre),((Datos!L19/Datos!K19)*11)/factor_trimestre," - ")))</f>
        <v>11.485401459854014</v>
      </c>
      <c r="AP19" s="834" t="str">
        <f>IF(ISNUMBER(Datos!CI19/Datos!CJ19),Datos!CI19/Datos!CJ19," - ")</f>
        <v xml:space="preserve"> - </v>
      </c>
      <c r="AQ19" s="834">
        <f>IF(OR(ISNUMBER(FIND("01",Criterios!A8,1)),ISNUMBER(FIND("02",Criterios!A8,1)),ISNUMBER(FIND("03",Criterios!A8,1)),ISNUMBER(FIND("04",Criterios!A8,1))),(J19-Y19+K19)/(F19-K19),(I19-Y19+K19)/(F19-K19))</f>
        <v>-0.69973190348525471</v>
      </c>
      <c r="AR19" s="834">
        <f>IF(ISNUMBER((Datos!P19-Datos!Q19+O19)/(Datos!R19-Datos!P19+Datos!Q19-O19)),(Datos!P19-Datos!Q19+O19)/(Datos!R19-Datos!P19+Datos!Q19-O19)," - ")</f>
        <v>0</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157.19999999999999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204.95934556231714</v>
      </c>
      <c r="G21" s="552">
        <f>IF(ISNUMBER(STDEV(G8:G18)),STDEV(G8:G18),"-")</f>
        <v>195.17351254716917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21.914987261384994</v>
      </c>
      <c r="AK21" s="252"/>
      <c r="AL21" s="252">
        <f>IF(ISNUMBER(STDEV(AL8:AL18)),STDEV(AL8:AL18),"-")</f>
        <v>0</v>
      </c>
      <c r="AM21" s="254">
        <f>IF(ISNUMBER(STDEV(AM8:AM18)),STDEV(AM8:AM18),"-")</f>
        <v>0</v>
      </c>
      <c r="AN21" s="539">
        <f>IF(ISNUMBER(STDEV(AN8:AN18)),STDEV(AN8:AN18),"-")</f>
        <v>0</v>
      </c>
      <c r="AO21" s="540">
        <f>IF(ISNUMBER(STDEV(AO8:AO18)),STDEV(AO8:AO18),"-")</f>
        <v>6.760773922384268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m8x9PFVq7HgnDJv6jkCJeqCQNi1e2b+ExT8af7iWd6PQ6M+DYy/D+Kiw+I/Ahraendj5WL443/FagnYOQ8wq2g==" saltValue="MWXuUPQ5vvcYEHTocgNS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RS5EukpyZrKZ1GVx1naSkYv7FY3gFufy5KgGGzUHMyjF38FeKod+3vwCL/lyHWH1rqNcRalQPRIFf+9ZLAU9Q==" saltValue="UcuLKAru7oNGk6V1nmms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3F1XQmJMDlJ+VtTeTJl4iw00hcmnq1+TQaNH5W9Q6yHNTYiS2BkCnzJGVw/+KoVh0tyWvsjb8NAiV/+TxPd4g==" saltValue="LmXBfUPeiqQnerzdjczb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PURCHENA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0.17320261437908496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0.1224727431466896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nKp4ESZdaILoJcigXOoKzmbiC382ECuWH7Gp9wb3sBNXgXjz+jlQsHVrjfAQxxcI83Gh6KC7kE+x/D6ZrTNaA==" saltValue="c/vMqx3Zo4PI+Av3qQTg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fUDoO+3+Eu/LEgA/N6GOX2+BNTSxLy7agaSB6zQkOaQ3VJ5v1efWfrWYQ4NArI/2d/f9Z7ibdJCFJ+6FwXAjwA==" saltValue="L1Kr+eyrl46ymwOBI7ij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PURCHENA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v>
      </c>
      <c r="D10" s="404">
        <f>IF(ISNUMBER(C10/Datos!BH10),C10/Datos!BH10," - ")</f>
        <v>8</v>
      </c>
      <c r="E10" s="403">
        <f>IF(ISNUMBER(Datos!J10),Datos!J10," - ")</f>
        <v>5</v>
      </c>
      <c r="F10" s="404">
        <f>IF(ISNUMBER(E10/B10),E10/B10," - ")</f>
        <v>5</v>
      </c>
      <c r="G10" s="403">
        <f>IF(ISNUMBER(Datos!K10),Datos!K10," - ")</f>
        <v>4</v>
      </c>
      <c r="H10" s="404">
        <f>IF(ISNUMBER(G10/B10),G10/B10," - ")</f>
        <v>4</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1927</v>
      </c>
      <c r="D12" s="404">
        <f>IF(ISNUMBER(C12/Datos!BH12),C12/Datos!BH12," - ")</f>
        <v>1927</v>
      </c>
      <c r="E12" s="403">
        <f>IF(ISNUMBER(IF(J_V="SI",Datos!J12,Datos!J12+Datos!Z12)),IF(J_V="SI",Datos!J12,Datos!J12+Datos!Z12)," - ")</f>
        <v>170</v>
      </c>
      <c r="F12" s="404">
        <f>IF(ISNUMBER(E12/B12),E12/B12," - ")</f>
        <v>170</v>
      </c>
      <c r="G12" s="403">
        <f>IF(ISNUMBER(IF(J_V="SI",Datos!K12,Datos!K12+Datos!AA12)),IF(J_V="SI",Datos!K12,Datos!K12+Datos!AA12)," - ")</f>
        <v>302</v>
      </c>
      <c r="H12" s="404">
        <f>IF(ISNUMBER(G12/B12),G12/B12," - ")</f>
        <v>302</v>
      </c>
      <c r="I12" s="403">
        <f>IF(ISNUMBER(IF(J_V="SI",Datos!L12,Datos!L12+Datos!AB12)),IF(J_V="SI",Datos!L12,Datos!L12+Datos!AB12)," - ")</f>
        <v>1795</v>
      </c>
      <c r="J12" s="404">
        <f>IF(ISNUMBER(I12/B12),I12/B12," - ")</f>
        <v>1795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1935</v>
      </c>
      <c r="D13" s="850" t="str">
        <f>IF(ISNUMBER(C13/Datos!BI13),C13/Datos!BI13," - ")</f>
        <v xml:space="preserve"> - </v>
      </c>
      <c r="E13" s="849">
        <f>SUBTOTAL(9,E8:E12)</f>
        <v>175</v>
      </c>
      <c r="F13" s="850">
        <f>IF(ISNUMBER(E13/B13),E13/B13," - ")</f>
        <v>175</v>
      </c>
      <c r="G13" s="849">
        <f>SUBTOTAL(9,G8:G12)</f>
        <v>306</v>
      </c>
      <c r="H13" s="850">
        <f>IF(ISNUMBER(G13/B13),G13/B13," - ")</f>
        <v>306</v>
      </c>
      <c r="I13" s="849">
        <f>SUBTOTAL(9,I8:I12)</f>
        <v>1805</v>
      </c>
      <c r="J13" s="850">
        <f>IF(ISNUMBER(I13/B13),I13/B13," - ")</f>
        <v>1805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356</v>
      </c>
      <c r="D16" s="404">
        <f>IF(ISNUMBER(C16/Datos!BH16),C16/Datos!BH16," - ")</f>
        <v>356</v>
      </c>
      <c r="E16" s="403">
        <f>IF(ISNUMBER(IF(D_I="SI",Datos!J16,Datos!J16+Datos!AD16)),IF(D_I="SI",Datos!J16,Datos!J16+Datos!AD16)," - ")</f>
        <v>182</v>
      </c>
      <c r="F16" s="404">
        <f>IF(ISNUMBER(E16/B16),E16/B16," - ")</f>
        <v>182</v>
      </c>
      <c r="G16" s="403">
        <f>IF(ISNUMBER(IF(D_I="SI",Datos!K16,Datos!K16+Datos!AE16)),IF(D_I="SI",Datos!K16,Datos!K16+Datos!AE16)," - ")</f>
        <v>238</v>
      </c>
      <c r="H16" s="404">
        <f>IF(ISNUMBER(G16/B16),G16/B16," - ")</f>
        <v>238</v>
      </c>
      <c r="I16" s="403">
        <f>IF(ISNUMBER(IF(D_I="SI",Datos!L16,Datos!L16+Datos!AF16)),IF(D_I="SI",Datos!L16,Datos!L16+Datos!AF16)," - ")</f>
        <v>308</v>
      </c>
      <c r="J16" s="404">
        <f>IF(ISNUMBER(I16/B16),I16/B16," - ")</f>
        <v>308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18</v>
      </c>
      <c r="F17" s="404">
        <f>IF(ISNUMBER(E17/B17),E17/B17," - ")</f>
        <v>18</v>
      </c>
      <c r="G17" s="403">
        <f>IF(ISNUMBER(IF(D_I="SI",Datos!K17,Datos!K17+Datos!AE17)),IF(D_I="SI",Datos!K17,Datos!K17+Datos!AE17)," - ")</f>
        <v>19</v>
      </c>
      <c r="H17" s="404">
        <f>IF(ISNUMBER(G17/B17),G17/B17," - ")</f>
        <v>19</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385</v>
      </c>
      <c r="D18" s="850" t="str">
        <f>IF(ISNUMBER(C18/Datos!BI18),C18/Datos!BI18," - ")</f>
        <v xml:space="preserve"> - </v>
      </c>
      <c r="E18" s="849">
        <f>SUBTOTAL(9,E14:E17)</f>
        <v>200</v>
      </c>
      <c r="F18" s="850">
        <f>IF(ISNUMBER(E18/B18),E18/B18," - ")</f>
        <v>200</v>
      </c>
      <c r="G18" s="849">
        <f>SUBTOTAL(9,G14:G17)</f>
        <v>257</v>
      </c>
      <c r="H18" s="850">
        <f>IF(ISNUMBER(G18/B18),G18/B18," - ")</f>
        <v>257</v>
      </c>
      <c r="I18" s="849">
        <f>SUBTOTAL(9,I14:I17)</f>
        <v>336</v>
      </c>
      <c r="J18" s="850">
        <f>IF(ISNUMBER(I18/B18),I18/B18," - ")</f>
        <v>336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2320</v>
      </c>
      <c r="D19" s="795" t="str">
        <f>IF(ISNUMBER(C19/Datos!BI19),C19/Datos!BI19," - ")</f>
        <v xml:space="preserve"> - </v>
      </c>
      <c r="E19" s="794">
        <f>SUBTOTAL(9,E9:E18)</f>
        <v>375</v>
      </c>
      <c r="F19" s="795">
        <f>IF(ISNUMBER(E19/B19),E19/B19," - ")</f>
        <v>375</v>
      </c>
      <c r="G19" s="794">
        <f>SUBTOTAL(9,G9:G18)</f>
        <v>563</v>
      </c>
      <c r="H19" s="795">
        <f>IF(ISNUMBER(G19/B19),G19/B19," - ")</f>
        <v>563</v>
      </c>
      <c r="I19" s="794">
        <f>SUBTOTAL(9,I9:I18)</f>
        <v>2141</v>
      </c>
      <c r="J19" s="795">
        <f>IF(ISNUMBER(I19/B19),I19/B19," - ")</f>
        <v>2141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5TNzJDCxVVHpc9UJnweznB4i0kA5tWd0/qqZXPMZEx6ked4EMc/kSaP8m5qC1b5rhZujvOEyscrYpMdK71Kqrw==" saltValue="UBIi8vqNMGBto2xGp/xT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PURCHENA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1710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v>
      </c>
      <c r="AM12" s="690">
        <f>IF(ISNUMBER(Datos!N12+DatosP!N16),Datos!N12+DatosP!N16," - ")</f>
        <v>158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17.831125827814571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-6.9686411149825784E-3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9</v>
      </c>
      <c r="G13" s="938">
        <f t="shared" si="0"/>
        <v>8</v>
      </c>
      <c r="H13" s="938">
        <f t="shared" si="0"/>
        <v>0</v>
      </c>
      <c r="I13" s="940">
        <f t="shared" si="0"/>
        <v>0</v>
      </c>
      <c r="J13" s="939">
        <f t="shared" si="0"/>
        <v>0</v>
      </c>
      <c r="K13" s="939">
        <f t="shared" si="0"/>
        <v>0</v>
      </c>
      <c r="L13" s="941">
        <f t="shared" si="0"/>
        <v>0</v>
      </c>
      <c r="M13" s="941">
        <f t="shared" si="0"/>
        <v>0</v>
      </c>
      <c r="N13" s="939">
        <f t="shared" si="0"/>
        <v>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93</v>
      </c>
      <c r="AE13" s="939">
        <f t="shared" si="1"/>
        <v>0</v>
      </c>
      <c r="AF13" s="939">
        <f t="shared" si="1"/>
        <v>10</v>
      </c>
      <c r="AG13" s="939">
        <f t="shared" si="1"/>
        <v>0</v>
      </c>
      <c r="AH13" s="939">
        <f t="shared" si="1"/>
        <v>1710</v>
      </c>
      <c r="AI13" s="939">
        <f t="shared" si="1"/>
        <v>0</v>
      </c>
      <c r="AJ13" s="939">
        <f t="shared" si="1"/>
        <v>0</v>
      </c>
      <c r="AK13" s="939">
        <f t="shared" si="1"/>
        <v>0</v>
      </c>
      <c r="AL13" s="939">
        <f t="shared" si="1"/>
        <v>53</v>
      </c>
      <c r="AM13" s="939">
        <f t="shared" si="1"/>
        <v>158</v>
      </c>
      <c r="AN13" s="939">
        <f t="shared" si="1"/>
        <v>0</v>
      </c>
      <c r="AO13" s="939">
        <f t="shared" si="1"/>
        <v>0</v>
      </c>
      <c r="AP13" s="944">
        <f>IF(ISNUMBER(((Datos!L13/Datos!K13)*11)/factor_trimestre),((Datos!L13/Datos!K13)*11)/factor_trimestre," - ")</f>
        <v>18.164948453608247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-0.44444444444444442</v>
      </c>
      <c r="AU13" s="939" t="str">
        <f>IF(ISNUMBER((DatosP!#REF!-DatosP!#REF!+DatosP!#REF!)/(DatosP!#REF!+DatosP!#REF!-DatosP!#REF!-DatosP!#REF!)),(DatosP!#REF!-DatosP!#REF!+DatosP!#REF!)/(DatosP!#REF!+DatosP!#REF!-DatosP!#REF!-DatosP!#REF!)," - ")</f>
        <v xml:space="preserve"> - </v>
      </c>
      <c r="AV13" s="945">
        <f>SUBTOTAL(9,AV9:AV12)</f>
        <v>-6.9686411149825784E-3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3.9221789883268485</v>
      </c>
      <c r="AQ18" s="944">
        <f>IF(ISNUMBER(((Datos!M18/Datos!L18)*11)/factor_trimestre),((Datos!M18/Datos!L18)*11)/factor_trimestre," - ")</f>
        <v>0.32142857142857145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v>
      </c>
      <c r="AW18" s="946">
        <f>IF(ISNUMBER((Datos!Q18-Datos!R18)/(Datos!S18-Datos!Q18+Datos!R18)),(Datos!Q18-Datos!R18)/(Datos!S18-Datos!Q18+Datos!R18)," - ")</f>
        <v>-5.2631578947368418E-2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9</v>
      </c>
      <c r="G19" s="951">
        <f t="shared" si="4"/>
        <v>8</v>
      </c>
      <c r="H19" s="951">
        <f t="shared" si="4"/>
        <v>0</v>
      </c>
      <c r="I19" s="952">
        <f t="shared" si="4"/>
        <v>0</v>
      </c>
      <c r="J19" s="953">
        <f t="shared" si="4"/>
        <v>0</v>
      </c>
      <c r="K19" s="953">
        <f t="shared" si="4"/>
        <v>0</v>
      </c>
      <c r="L19" s="953">
        <f t="shared" si="4"/>
        <v>0</v>
      </c>
      <c r="M19" s="953">
        <f t="shared" si="4"/>
        <v>0</v>
      </c>
      <c r="N19" s="952">
        <f t="shared" si="4"/>
        <v>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93</v>
      </c>
      <c r="AE19" s="957">
        <f t="shared" si="5"/>
        <v>0</v>
      </c>
      <c r="AF19" s="958">
        <f t="shared" si="5"/>
        <v>10</v>
      </c>
      <c r="AG19" s="958">
        <f t="shared" si="5"/>
        <v>0</v>
      </c>
      <c r="AH19" s="958">
        <f t="shared" si="5"/>
        <v>1710</v>
      </c>
      <c r="AI19" s="958">
        <f t="shared" si="5"/>
        <v>0</v>
      </c>
      <c r="AJ19" s="959">
        <f t="shared" si="5"/>
        <v>0</v>
      </c>
      <c r="AK19" s="959">
        <f t="shared" si="5"/>
        <v>0</v>
      </c>
      <c r="AL19" s="951">
        <f t="shared" si="5"/>
        <v>53</v>
      </c>
      <c r="AM19" s="951">
        <f t="shared" si="5"/>
        <v>158</v>
      </c>
      <c r="AN19" s="951">
        <f t="shared" si="5"/>
        <v>0</v>
      </c>
      <c r="AO19" s="951">
        <f t="shared" si="5"/>
        <v>0</v>
      </c>
      <c r="AP19" s="951">
        <f>IF(ISNUMBER(((Datos!L19/Datos!K19)*11)/factor_trimestre),((Datos!L19/Datos!K19)*11)/factor_trimestre," - ")</f>
        <v>11.485401459854014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-0.44444444444444442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5.196152422706632</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28.384267943117127</v>
      </c>
      <c r="AM21" s="736"/>
      <c r="AN21" s="736">
        <f>IF(ISNUMBER(STDEV(AN8:AN18)),STDEV(AN8:AN18),"-")</f>
        <v>0</v>
      </c>
      <c r="AO21" s="742">
        <f>IF(ISNUMBER(STDEV(AO8:AO18)),STDEV(AO8:AO18),"-")</f>
        <v>0</v>
      </c>
      <c r="AP21" s="779">
        <f>IF(ISNUMBER(STDEV(AP8:AP18)),STDEV(AP8:AP18),"-")</f>
        <v>7.2439676705872973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61+XD/mT02RYe/SraijLbP506DkWNf956Pkn6g1QhlStn4LYuD/R5x+CoI2CCwtUc8ualm1rm5JYAznrI0bm6Q==" saltValue="p3TdVkX7vbU95lBNLyM3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PURCHENA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IjZL13R8WSPXU1YNKNi/Z2HzqUYtfhDup5HnkOnFGozEvRhUeLe7n4ZVRLZfViLwD6os42aMT4fHUdzTmY7jg==" saltValue="/x2F+7ECnTf0/NRfHOLc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PURCHENA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49</v>
      </c>
      <c r="E12" s="404">
        <f t="shared" si="0"/>
        <v>49</v>
      </c>
      <c r="F12" s="403">
        <f>IF(ISNUMBER(Datos!N12),Datos!N12," - ")</f>
        <v>158</v>
      </c>
      <c r="G12" s="404">
        <f t="shared" si="1"/>
        <v>158</v>
      </c>
      <c r="H12" s="403">
        <f>IF(ISNUMBER(Datos!O12),Datos!O12," - ")</f>
        <v>142</v>
      </c>
      <c r="I12" s="404">
        <f t="shared" si="2"/>
        <v>142</v>
      </c>
      <c r="BZ12" s="1186">
        <f>Datos!EZ12</f>
        <v>0</v>
      </c>
    </row>
    <row r="13" spans="1:78" ht="14.25" thickTop="1" thickBot="1">
      <c r="A13" s="848" t="str">
        <f>Datos!A13</f>
        <v>TOTAL</v>
      </c>
      <c r="B13" s="849">
        <f>Datos!AP13</f>
        <v>1</v>
      </c>
      <c r="C13" s="851">
        <f>Datos!AR13</f>
        <v>1</v>
      </c>
      <c r="D13" s="849">
        <f>SUBTOTAL(9,D9:D12)</f>
        <v>53</v>
      </c>
      <c r="E13" s="850">
        <f t="shared" si="0"/>
        <v>53</v>
      </c>
      <c r="F13" s="849">
        <f>SUBTOTAL(9,F9:F12)</f>
        <v>158</v>
      </c>
      <c r="G13" s="850">
        <f t="shared" si="1"/>
        <v>158</v>
      </c>
      <c r="H13" s="849">
        <f>SUBTOTAL(9,H9:H12)</f>
        <v>142</v>
      </c>
      <c r="I13" s="850">
        <f>IF(ISNUMBER(H13/B13),H13/B13," - ")</f>
        <v>142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34</v>
      </c>
      <c r="E16" s="404">
        <f t="shared" si="3"/>
        <v>34</v>
      </c>
      <c r="F16" s="403">
        <f>IF(ISNUMBER(Datos!N16),Datos!N16," - ")</f>
        <v>169</v>
      </c>
      <c r="G16" s="404">
        <f t="shared" si="4"/>
        <v>169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36</v>
      </c>
      <c r="E18" s="850">
        <f t="shared" si="3"/>
        <v>36</v>
      </c>
      <c r="F18" s="849">
        <f>SUBTOTAL(9,F15:F17)</f>
        <v>178</v>
      </c>
      <c r="G18" s="850">
        <f t="shared" si="4"/>
        <v>178</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89</v>
      </c>
      <c r="E19" s="795">
        <f>IF(ISNUMBER(D19/B19),D19/B19," - ")</f>
        <v>89</v>
      </c>
      <c r="F19" s="794">
        <f>SUBTOTAL(9,F8:F18)</f>
        <v>336</v>
      </c>
      <c r="G19" s="795">
        <f>IF(ISNUMBER(F19/B19),F19/B19," - ")</f>
        <v>336</v>
      </c>
      <c r="H19" s="794">
        <f>SUBTOTAL(9,H8:H18)</f>
        <v>142</v>
      </c>
      <c r="I19" s="795">
        <f>IF(ISNUMBER(H19/B19),H19/B19," - ")</f>
        <v>142</v>
      </c>
    </row>
    <row r="22" spans="1:78">
      <c r="A22" s="391" t="str">
        <f>Criterios!A4</f>
        <v>Fecha Informe: 24 sep. 2025</v>
      </c>
    </row>
    <row r="27" spans="1:78">
      <c r="A27" s="414"/>
    </row>
  </sheetData>
  <sheetProtection algorithmName="SHA-512" hashValue="nuKbGdJ+MW3RijyC703bgm7AqDuduExANu2BM4mP9sex+S9FvDLPL2GxsrQgsy1AS8/htjAKO/TjZQFgHP4gKg==" saltValue="Cb9ca2Tqsy5yN9Bs+cCs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PURCHENA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81</v>
      </c>
      <c r="C12" s="434">
        <f>IF(ISNUMBER(Datos!Q12),Datos!Q12," - ")</f>
        <v>93</v>
      </c>
      <c r="D12" s="408">
        <f>IF(ISNUMBER(Datos!R12),Datos!R12," - ")</f>
        <v>1710</v>
      </c>
    </row>
    <row r="13" spans="1:4" ht="14.25" thickTop="1" thickBot="1">
      <c r="A13" s="848" t="str">
        <f>Datos!A13</f>
        <v>TOTAL</v>
      </c>
      <c r="B13" s="849">
        <f>SUBTOTAL(9,B9:B12)</f>
        <v>81</v>
      </c>
      <c r="C13" s="853">
        <f>SUBTOTAL(9,C9:C12)</f>
        <v>93</v>
      </c>
      <c r="D13" s="851">
        <f>SUBTOTAL(9,D9:D12)</f>
        <v>1711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0</v>
      </c>
      <c r="D16" s="408">
        <f>IF(ISNUMBER(Datos!R16),Datos!R16," - ")</f>
        <v>18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12</v>
      </c>
      <c r="C18" s="853">
        <f>SUBTOTAL(9,C15:C17)</f>
        <v>0</v>
      </c>
      <c r="D18" s="851">
        <f>SUBTOTAL(9,D15:D17)</f>
        <v>18</v>
      </c>
    </row>
    <row r="19" spans="1:4" ht="16.5" customHeight="1" thickTop="1" thickBot="1">
      <c r="A19" s="793" t="str">
        <f>Datos!A19</f>
        <v>TOTAL JURISDICCIONES</v>
      </c>
      <c r="B19" s="798">
        <f>SUBTOTAL(9,B8:B18)</f>
        <v>93</v>
      </c>
      <c r="C19" s="799">
        <f>SUBTOTAL(9,C8:C18)</f>
        <v>93</v>
      </c>
      <c r="D19" s="800">
        <f>SUBTOTAL(9,D8:D18)</f>
        <v>1729</v>
      </c>
    </row>
    <row r="20" spans="1:4" ht="7.5" customHeight="1"/>
    <row r="21" spans="1:4" ht="6" customHeight="1"/>
    <row r="22" spans="1:4">
      <c r="A22" s="391" t="str">
        <f>Criterios!A4</f>
        <v>Fecha Informe: 24 sep. 2025</v>
      </c>
    </row>
    <row r="27" spans="1:4">
      <c r="A27" s="414"/>
    </row>
  </sheetData>
  <sheetProtection algorithmName="SHA-512" hashValue="sfaD9LU72/0/5K/KOd1hq0edfDSC2Ykt9TpkD0ctKiIsg/8racFWgzBq3fh6kkznbYjJvNU/mkdy/tR/qfW57Q==" saltValue="62owdDWsexZL/55Q9cYl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PURCHENA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v>
      </c>
      <c r="D10" s="456">
        <f>IF(ISNUMBER((Datos!K10-Datos!U10)/Datos!U10),(Datos!K10-Datos!U10)/Datos!U10," - ")</f>
        <v>-0.2</v>
      </c>
      <c r="E10" s="456">
        <f>IF(ISNUMBER((Datos!L10-Datos!V10)/Datos!V10),(Datos!L10-Datos!V10)/Datos!V10," - ")</f>
        <v>0.25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-0.19999999999999996</v>
      </c>
      <c r="I10" s="456">
        <f>IF(ISNUMBER(((NºAsuntos!I10/NºAsuntos!G10)-Datos!BE10)/Datos!BE10),((NºAsuntos!I10/NºAsuntos!G10)-Datos!BE10)/Datos!BE10," - ")</f>
        <v>0.56249999999999989</v>
      </c>
      <c r="J10" s="461">
        <f>IF(ISNUMBER((('Resol  Asuntos'!D10/NºAsuntos!G10)-Datos!BF10)/Datos!BF10),(('Resol  Asuntos'!D10/NºAsuntos!G10)-Datos!BF10)/Datos!BF10," - ")</f>
        <v>1.4999999999999998</v>
      </c>
      <c r="K10" s="462">
        <f>IF(ISNUMBER((((NºAsuntos!C10+NºAsuntos!E10)/NºAsuntos!G10)-Datos!BG10)/Datos!BG10),(((NºAsuntos!C10+NºAsuntos!E10)/NºAsuntos!G10)-Datos!BG10)/Datos!BG10," - ")</f>
        <v>0.24999999999999994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0.7646520146520146</v>
      </c>
      <c r="C12" s="456">
        <f>IF(ISNUMBER(
   IF(J_V="SI",(Datos!J12-Datos!T12)/Datos!T12,(Datos!J12+Datos!Z12-(Datos!T12+Datos!AH12))/(Datos!T12+Datos!AH12))
     ),IF(J_V="SI",(Datos!J12-Datos!T12)/Datos!T12,(Datos!J12+Datos!Z12-(Datos!T12+Datos!AH12))/(Datos!T12+Datos!AH12))," - ")</f>
        <v>-0.35361216730038025</v>
      </c>
      <c r="D12" s="456">
        <f>IF(ISNUMBER(
   IF(J_V="SI",(Datos!K12-Datos!U12)/Datos!U12,(Datos!K12+Datos!AA12-(Datos!U12+Datos!AI12))/(Datos!U12+Datos!AI12))
     ),IF(J_V="SI",(Datos!K12-Datos!U12)/Datos!U12,(Datos!K12+Datos!AA12-(Datos!U12+Datos!AI12))/(Datos!U12+Datos!AI12))," - ")</f>
        <v>0.50248756218905477</v>
      </c>
      <c r="E12" s="456">
        <f>IF(ISNUMBER(
   IF(J_V="SI",(Datos!L12-Datos!V12)/Datos!V12,(Datos!L12+Datos!AB12-(Datos!V12+Datos!AJ12))/(Datos!V12+Datos!AJ12))
     ),IF(J_V="SI",(Datos!L12-Datos!V12)/Datos!V12,(Datos!L12+Datos!AB12-(Datos!V12+Datos!AJ12))/(Datos!V12+Datos!AJ12))," - ")</f>
        <v>0.5554592720970537</v>
      </c>
      <c r="F12" s="456">
        <f>IF(ISNUMBER((Datos!M12-Datos!W12)/Datos!W12),(Datos!M12-Datos!W12)/Datos!W12," - ")</f>
        <v>-7.5471698113207544E-2</v>
      </c>
      <c r="G12" s="457">
        <f>IF(ISNUMBER((Datos!N12-Datos!X12)/Datos!X12),(Datos!N12-Datos!X12)/Datos!X12," - ")</f>
        <v>1.5901639344262295</v>
      </c>
      <c r="H12" s="455">
        <f>IF(ISNUMBER(((NºAsuntos!G12/NºAsuntos!E12)-Datos!BD12)/Datos!BD12),((NºAsuntos!G12/NºAsuntos!E12)-Datos!BD12)/Datos!BD12," - ")</f>
        <v>1.3244366403277728</v>
      </c>
      <c r="I12" s="456">
        <f>IF(ISNUMBER(((NºAsuntos!I12/NºAsuntos!G12)-Datos!BE12)/Datos!BE12),((NºAsuntos!I12/NºAsuntos!G12)-Datos!BE12)/Datos!BE12," - ")</f>
        <v>3.52560056010192E-2</v>
      </c>
      <c r="J12" s="461">
        <f>IF(ISNUMBER((('Resol  Asuntos'!D12/NºAsuntos!G12)-Datos!BF12)/Datos!BF12),(('Resol  Asuntos'!D12/NºAsuntos!G12)-Datos!BF12)/Datos!BF12," - ")</f>
        <v>-0.46536749538595162</v>
      </c>
      <c r="K12" s="462">
        <f>IF(ISNUMBER((((NºAsuntos!C12+NºAsuntos!E12)/NºAsuntos!G12)-Datos!BG12)/Datos!BG12),(((NºAsuntos!C12+NºAsuntos!E12)/NºAsuntos!G12)-Datos!BG12)/Datos!BG12," - ")</f>
        <v>3.002614794359864E-2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0.75909090909090904</v>
      </c>
      <c r="C13" s="855">
        <f>IF(ISNUMBER(
   IF(J_V="SI",(Datos!J13-Datos!T13)/Datos!T13,(Datos!J13+Datos!Z13-(Datos!T13+Datos!AH13))/(Datos!T13+Datos!AH13))
     ),IF(J_V="SI",(Datos!J13-Datos!T13)/Datos!T13,(Datos!J13+Datos!Z13-(Datos!T13+Datos!AH13))/(Datos!T13+Datos!AH13))," - ")</f>
        <v>-0.34701492537313433</v>
      </c>
      <c r="D13" s="855">
        <f>IF(ISNUMBER(
   IF(J_V="SI",(Datos!K13-Datos!U13)/Datos!U13,(Datos!K13+Datos!AA13-(Datos!U13+Datos!AI13))/(Datos!U13+Datos!AI13))
     ),IF(J_V="SI",(Datos!K13-Datos!U13)/Datos!U13,(Datos!K13+Datos!AA13-(Datos!U13+Datos!AI13))/(Datos!U13+Datos!AI13))," - ")</f>
        <v>0.4854368932038835</v>
      </c>
      <c r="E13" s="855">
        <f>IF(ISNUMBER(
   IF(J_V="SI",(Datos!L13-Datos!V13)/Datos!V13,(Datos!L13+Datos!AB13-(Datos!V13+Datos!AJ13))/(Datos!V13+Datos!AJ13))
     ),IF(J_V="SI",(Datos!L13-Datos!V13)/Datos!V13,(Datos!L13+Datos!AB13-(Datos!V13+Datos!AJ13))/(Datos!V13+Datos!AJ13))," - ")</f>
        <v>0.55335628227194489</v>
      </c>
      <c r="F13" s="856">
        <f>IF(ISNUMBER((Datos!M13-Datos!W13)/Datos!W13),(Datos!M13-Datos!W13)/Datos!W13," - ")</f>
        <v>-3.6363636363636362E-2</v>
      </c>
      <c r="G13" s="857">
        <f>IF(ISNUMBER((Datos!N13-Datos!X13)/Datos!X13),(Datos!N13-Datos!X13)/Datos!X13," - ")</f>
        <v>1.5901639344262295</v>
      </c>
      <c r="H13" s="857">
        <f>IF(ISNUMBER(((NºAsuntos!G13/NºAsuntos!E13)-Datos!BD13)/Datos!BD13),((NºAsuntos!G13/NºAsuntos!E13)-Datos!BD13)/Datos!BD13," - ")</f>
        <v>1.2748404993065188</v>
      </c>
      <c r="I13" s="857">
        <f>IF(ISNUMBER(((NºAsuntos!I13/NºAsuntos!G13)-Datos!BE13)/Datos!BE13),((NºAsuntos!I13/NºAsuntos!G13)-Datos!BE13)/Datos!BE13," - ")</f>
        <v>4.5723510287649316E-2</v>
      </c>
      <c r="J13" s="857">
        <f>IF(ISNUMBER((('Resol  Asuntos'!D13/NºAsuntos!G13)-Datos!BF13)/Datos!BF13),(('Resol  Asuntos'!D13/NºAsuntos!G13)-Datos!BF13)/Datos!BF13," - ")</f>
        <v>-0.43365494345886502</v>
      </c>
      <c r="K13" s="857">
        <f>IF(ISNUMBER((((NºAsuntos!C13+NºAsuntos!E13)/NºAsuntos!G13)-Datos!BG13)/Datos!BG13),(((NºAsuntos!C13+NºAsuntos!E13)/NºAsuntos!G13)-Datos!BG13)/Datos!BG13," - ")</f>
        <v>3.8346137675343145E-2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0.18272425249169436</v>
      </c>
      <c r="C16" s="456">
        <f>IF(ISNUMBER(
   IF(D_I="SI",(Datos!J16-Datos!T16)/Datos!T16,(Datos!J16+Datos!AD16-(Datos!T16+Datos!AL16))/(Datos!T16+Datos!AL16))
     ),IF(D_I="SI",(Datos!J16-Datos!T16)/Datos!T16,(Datos!J16+Datos!AD16-(Datos!T16+Datos!AL16))/(Datos!T16+Datos!AL16))," - ")</f>
        <v>0.38931297709923662</v>
      </c>
      <c r="D16" s="456">
        <f>IF(ISNUMBER(
   IF(D_I="SI",(Datos!K16-Datos!U16)/Datos!U16,(Datos!K16+Datos!AE16-(Datos!U16+Datos!AM16))/(Datos!U16+Datos!AM16))
     ),IF(D_I="SI",(Datos!K16-Datos!U16)/Datos!U16,(Datos!K16+Datos!AE16-(Datos!U16+Datos!AM16))/(Datos!U16+Datos!AM16))," - ")</f>
        <v>1.0695652173913044</v>
      </c>
      <c r="E16" s="456">
        <f>IF(ISNUMBER(
   IF(D_I="SI",(Datos!L16-Datos!V16)/Datos!V16,(Datos!L16+Datos!AF16-(Datos!V16+Datos!AN16))/(Datos!V16+Datos!AN16))
     ),IF(D_I="SI",(Datos!L16-Datos!V16)/Datos!V16,(Datos!L16+Datos!AF16-(Datos!V16+Datos!AN16))/(Datos!V16+Datos!AN16))," - ")</f>
        <v>-2.8391167192429023E-2</v>
      </c>
      <c r="F16" s="456">
        <f>IF(ISNUMBER((Datos!M16-Datos!W16)/Datos!W16),(Datos!M16-Datos!W16)/Datos!W16," - ")</f>
        <v>0.41666666666666669</v>
      </c>
      <c r="G16" s="457">
        <f>IF(ISNUMBER((Datos!N16-Datos!X16)/Datos!X16),(Datos!N16-Datos!X16)/Datos!X16," - ")</f>
        <v>1.7704918032786885</v>
      </c>
      <c r="H16" s="455">
        <f>IF(ISNUMBER(((NºAsuntos!G16/NºAsuntos!E16)-Datos!BD16)/Datos!BD16),((NºAsuntos!G16/NºAsuntos!E16)-Datos!BD16)/Datos!BD16," - ")</f>
        <v>0.48963210702341137</v>
      </c>
      <c r="I16" s="456">
        <f>IF(ISNUMBER(((NºAsuntos!I16/NºAsuntos!G16)-Datos!BE16)/Datos!BE16),((NºAsuntos!I16/NºAsuntos!G16)-Datos!BE16)/Datos!BE16," - ")</f>
        <v>-0.53052514381146776</v>
      </c>
      <c r="J16" s="461">
        <f>IF(ISNUMBER((('Resol  Asuntos'!D16/NºAsuntos!G16)-Datos!BF16)/Datos!BF16),(('Resol  Asuntos'!D16/NºAsuntos!G16)-Datos!BF16)/Datos!BF16," - ")</f>
        <v>-0.31547619047619047</v>
      </c>
      <c r="K16" s="462">
        <f>IF(ISNUMBER((((NºAsuntos!C16+NºAsuntos!E16)/NºAsuntos!G16)-Datos!BG16)/Datos!BG16),(((NºAsuntos!C16+NºAsuntos!E16)/NºAsuntos!G16)-Datos!BG16)/Datos!BG16," - ")</f>
        <v>-0.39824540927482105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0.2608695652173913</v>
      </c>
      <c r="C17" s="456">
        <f>IF(ISNUMBER(
   IF(D_I="SI",(Datos!J17-Datos!T17)/Datos!T17,(Datos!J17+Datos!AD17-(Datos!T17+Datos!AL17))/(Datos!T17+Datos!AL17))
     ),IF(D_I="SI",(Datos!J17-Datos!T17)/Datos!T17,(Datos!J17+Datos!AD17-(Datos!T17+Datos!AL17))/(Datos!T17+Datos!AL17))," - ")</f>
        <v>-0.35714285714285715</v>
      </c>
      <c r="D17" s="456">
        <f>IF(ISNUMBER(
   IF(D_I="SI",(Datos!K17-Datos!U17)/Datos!U17,(Datos!K17+Datos!AE17-(Datos!U17+Datos!AM17))/(Datos!U17+Datos!AM17))
     ),IF(D_I="SI",(Datos!K17-Datos!U17)/Datos!U17,(Datos!K17+Datos!AE17-(Datos!U17+Datos!AM17))/(Datos!U17+Datos!AM17))," - ")</f>
        <v>-0.17391304347826086</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-0.6</v>
      </c>
      <c r="G17" s="457">
        <f>IF(ISNUMBER((Datos!N17-Datos!X17)/Datos!X17),(Datos!N17-Datos!X17)/Datos!X17," - ")</f>
        <v>0.2857142857142857</v>
      </c>
      <c r="H17" s="455">
        <f>IF(ISNUMBER(((NºAsuntos!G17/NºAsuntos!E17)-Datos!BD17)/Datos!BD17),((NºAsuntos!G17/NºAsuntos!E17)-Datos!BD17)/Datos!BD17," - ")</f>
        <v>0.28502415458937208</v>
      </c>
      <c r="I17" s="456">
        <f>IF(ISNUMBER(((NºAsuntos!I17/NºAsuntos!G17)-Datos!BE17)/Datos!BE17),((NºAsuntos!I17/NºAsuntos!G17)-Datos!BE17)/Datos!BE17," - ")</f>
        <v>0.21052631578947353</v>
      </c>
      <c r="J17" s="461">
        <f>IF(ISNUMBER((('Resol  Asuntos'!D17/NºAsuntos!G17)-Datos!BF17)/Datos!BF17),(('Resol  Asuntos'!D17/NºAsuntos!G17)-Datos!BF17)/Datos!BF17," - ")</f>
        <v>-0.51578947368421058</v>
      </c>
      <c r="K17" s="462">
        <f>IF(ISNUMBER((((NºAsuntos!C17+NºAsuntos!E17)/NºAsuntos!G17)-Datos!BG17)/Datos!BG17),(((NºAsuntos!C17+NºAsuntos!E17)/NºAsuntos!G17)-Datos!BG17)/Datos!BG17," - ")</f>
        <v>0.11558307533539734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0.18827160493827161</v>
      </c>
      <c r="C18" s="855">
        <f>IF(ISNUMBER(
   IF(Criterios!B14="SI",(Datos!J18-Datos!T18)/Datos!T18,(Datos!J18+Datos!AD18-(Datos!T18+Datos!AL18))/(Datos!T18+Datos!AL18))
     ),IF(Criterios!B14="SI",(Datos!J18-Datos!T18)/Datos!T18,(Datos!J18+Datos!AD18-(Datos!T18+Datos!AL18))/(Datos!T18+Datos!AL18))," - ")</f>
        <v>0.25786163522012578</v>
      </c>
      <c r="D18" s="855">
        <f>IF(ISNUMBER(
   IF(Criterios!B14="SI",(Datos!K18-Datos!U18)/Datos!U18,(Datos!K18+Datos!AE18-(Datos!U18+Datos!AM18))/(Datos!U18+Datos!AM18))
     ),IF(Criterios!B14="SI",(Datos!K18-Datos!U18)/Datos!U18,(Datos!K18+Datos!AE18-(Datos!U18+Datos!AM18))/(Datos!U18+Datos!AM18))," - ")</f>
        <v>0.8623188405797102</v>
      </c>
      <c r="E18" s="855">
        <f>IF(ISNUMBER(
   IF(Criterios!B14="SI",(Datos!L18-Datos!V18)/Datos!V18,(Datos!L18+Datos!AF18-(Datos!V18+Datos!AN18))/(Datos!V18+Datos!AN18))
     ),IF(Criterios!B14="SI",(Datos!L18-Datos!V18)/Datos!V18,(Datos!L18+Datos!AF18-(Datos!V18+Datos!AN18))/(Datos!V18+Datos!AN18))," - ")</f>
        <v>-2.6086956521739129E-2</v>
      </c>
      <c r="F18" s="856">
        <f>IF(ISNUMBER((Datos!M18-Datos!W18)/Datos!W18),(Datos!M18-Datos!W18)/Datos!W18," - ")</f>
        <v>0.2413793103448276</v>
      </c>
      <c r="G18" s="857">
        <f>IF(ISNUMBER((Datos!N18-Datos!X18)/Datos!X18),(Datos!N18-Datos!X18)/Datos!X18," - ")</f>
        <v>1.6176470588235294</v>
      </c>
      <c r="H18" s="857">
        <f>IF(ISNUMBER(((NºAsuntos!G18/NºAsuntos!E18)-Datos!BD18)/Datos!BD18),((NºAsuntos!G18/NºAsuntos!E18)-Datos!BD18)/Datos!BD18," - ")</f>
        <v>0.48054347826086941</v>
      </c>
      <c r="I18" s="857">
        <f>IF(ISNUMBER(((NºAsuntos!I18/NºAsuntos!G18)-Datos!BE18)/Datos!BE18),((NºAsuntos!I18/NºAsuntos!G18)-Datos!BE18)/Datos!BE18," - ")</f>
        <v>-0.4770428015564202</v>
      </c>
      <c r="J18" s="857">
        <f>IF(ISNUMBER((('Resol  Asuntos'!D18/NºAsuntos!G18)-Datos!BF18)/Datos!BF18),(('Resol  Asuntos'!D18/NºAsuntos!G18)-Datos!BF18)/Datos!BF18," - ")</f>
        <v>-0.33342278277203807</v>
      </c>
      <c r="K18" s="857">
        <f>IF(ISNUMBER((((NºAsuntos!C18+NºAsuntos!E18)/NºAsuntos!G18)-Datos!BG18)/Datos!BG18),(((NºAsuntos!C18+NºAsuntos!E18)/NºAsuntos!G18)-Datos!BG18)/Datos!BG18," - ")</f>
        <v>-0.34963868816008897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0.6292134831460674</v>
      </c>
      <c r="C19" s="802">
        <f>IF(ISNUMBER(
   IF(J_V="SI",(Datos!J19-Datos!T19)/Datos!T19,(Datos!J19+Datos!Z19-(Datos!T19+Datos!AH19))/(Datos!T19+Datos!AH19))
     ),IF(J_V="SI",(Datos!J19-Datos!T19)/Datos!T19,(Datos!J19+Datos!Z19-(Datos!T19+Datos!AH19))/(Datos!T19+Datos!AH19))," - ")</f>
        <v>-0.12177985948477751</v>
      </c>
      <c r="D19" s="802">
        <f>IF(ISNUMBER(
   IF(J_V="SI",(Datos!K19-Datos!U19)/Datos!U19,(Datos!K19+Datos!AA19-(Datos!U19+Datos!AI19))/(Datos!U19+Datos!AI19))
     ),IF(J_V="SI",(Datos!K19-Datos!U19)/Datos!U19,(Datos!K19+Datos!AA19-(Datos!U19+Datos!AI19))/(Datos!U19+Datos!AI19))," - ")</f>
        <v>0.63662790697674421</v>
      </c>
      <c r="E19" s="802">
        <f>IF(ISNUMBER(
   IF(J_V="SI",(Datos!L19-Datos!V19)/Datos!V19,(Datos!L19+Datos!AB19-(Datos!V19+Datos!AJ19))/(Datos!V19+Datos!AJ19))
     ),IF(J_V="SI",(Datos!L19-Datos!V19)/Datos!V19,(Datos!L19+Datos!AB19-(Datos!V19+Datos!AJ19))/(Datos!V19+Datos!AJ19))," - ")</f>
        <v>0.42070338420703385</v>
      </c>
      <c r="F19" s="803">
        <f>IF(ISNUMBER((Datos!M19-Datos!W19)/Datos!W19),(Datos!M19-Datos!W19)/Datos!W19," - ")</f>
        <v>5.9523809523809521E-2</v>
      </c>
      <c r="G19" s="804">
        <f>IF(ISNUMBER((Datos!N19-Datos!X19)/Datos!X19),(Datos!N19-Datos!X19)/Datos!X19," - ")</f>
        <v>1.6046511627906976</v>
      </c>
      <c r="H19" s="805">
        <f>IF(ISNUMBER((Tasas!B19-Datos!BD19)/Datos!BD19),(Tasas!B19-Datos!BD19)/Datos!BD19," - ")</f>
        <v>0.86357364341085274</v>
      </c>
      <c r="I19" s="806">
        <f>IF(ISNUMBER((Tasas!C19-Datos!BE19)/Datos!BE19),(Tasas!C19-Datos!BE19)/Datos!BE19," - ")</f>
        <v>-0.13193256808664355</v>
      </c>
      <c r="J19" s="807">
        <f>IF(ISNUMBER((Tasas!D19-Datos!BF19)/Datos!BF19),(Tasas!D19-Datos!BF19)/Datos!BF19," - ")</f>
        <v>-0.40891188508765147</v>
      </c>
      <c r="K19" s="807">
        <f>IF(ISNUMBER((Tasas!E19-Datos!BG19)/Datos!BG19),(Tasas!E19-Datos!BG19)/Datos!BG19," - ")</f>
        <v>-0.11038438249978645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MubJpOlIORtEPtqPheqKuXymWlmGZ3BFD2gtHrPWQz4in6N+/3IRcSWYaRnaLRMSl2J7pu3D+3VF5sukLyIgQ==" saltValue="f4QCmoqcZCtcpTDPFqIT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PURCHENA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2.5</v>
      </c>
      <c r="D10" s="444">
        <f>IF(ISNUMBER('Resol  Asuntos'!D10/NºAsuntos!G10),'Resol  Asuntos'!D10/NºAsuntos!G10," - ")</f>
        <v>1</v>
      </c>
      <c r="E10" s="445">
        <f>IF(ISNUMBER((NºAsuntos!C10+NºAsuntos!E10)/NºAsuntos!G10),(NºAsuntos!C10+NºAsuntos!E10)/NºAsuntos!G10," - ")</f>
        <v>3.25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1.776470588235294</v>
      </c>
      <c r="C12" s="443">
        <f>IF(ISNUMBER(NºAsuntos!I12/NºAsuntos!G12),NºAsuntos!I12/NºAsuntos!G12," - ")</f>
        <v>5.943708609271523</v>
      </c>
      <c r="D12" s="444">
        <f>IF(ISNUMBER('Resol  Asuntos'!D12/NºAsuntos!G12),'Resol  Asuntos'!D12/NºAsuntos!G12," - ")</f>
        <v>0.16225165562913907</v>
      </c>
      <c r="E12" s="445">
        <f>IF(ISNUMBER((NºAsuntos!C12+NºAsuntos!E12)/NºAsuntos!G12),(NºAsuntos!C12+NºAsuntos!E12)/NºAsuntos!G12," - ")</f>
        <v>6.943708609271523</v>
      </c>
      <c r="G12" s="463"/>
    </row>
    <row r="13" spans="1:7" ht="14.25" thickTop="1" thickBot="1">
      <c r="A13" s="848" t="str">
        <f>Datos!A13</f>
        <v>TOTAL</v>
      </c>
      <c r="B13" s="858">
        <f>IF(ISNUMBER(NºAsuntos!G13/NºAsuntos!E13),NºAsuntos!G13/NºAsuntos!E13," - ")</f>
        <v>1.7485714285714287</v>
      </c>
      <c r="C13" s="859">
        <f>IF(ISNUMBER(NºAsuntos!I13/NºAsuntos!G13),NºAsuntos!I13/NºAsuntos!G13," - ")</f>
        <v>5.8986928104575167</v>
      </c>
      <c r="D13" s="860">
        <f>IF(ISNUMBER('Resol  Asuntos'!D13/NºAsuntos!G13),'Resol  Asuntos'!D13/NºAsuntos!G13," - ")</f>
        <v>0.17320261437908496</v>
      </c>
      <c r="E13" s="861">
        <f>IF(ISNUMBER((NºAsuntos!C13+NºAsuntos!E13)/NºAsuntos!G13),(NºAsuntos!C13+NºAsuntos!E13)/NºAsuntos!G13," - ")</f>
        <v>6.8954248366013076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1.3076923076923077</v>
      </c>
      <c r="C16" s="443">
        <f>IF(ISNUMBER(NºAsuntos!I16/NºAsuntos!G16),NºAsuntos!I16/NºAsuntos!G16," - ")</f>
        <v>1.2941176470588236</v>
      </c>
      <c r="D16" s="444">
        <f>IF(ISNUMBER('Resol  Asuntos'!D16/NºAsuntos!G16),'Resol  Asuntos'!D16/NºAsuntos!G16," - ")</f>
        <v>0.14285714285714285</v>
      </c>
      <c r="E16" s="445">
        <f>IF(ISNUMBER((NºAsuntos!C16+NºAsuntos!E16)/NºAsuntos!G16),(NºAsuntos!C16+NºAsuntos!E16)/NºAsuntos!G16," - ")</f>
        <v>2.2605042016806722</v>
      </c>
      <c r="G16" s="463"/>
    </row>
    <row r="17" spans="1:7" ht="13.5" thickBot="1">
      <c r="A17" s="402" t="str">
        <f>Datos!A17</f>
        <v>Jdos. Violencia contra la mujer</v>
      </c>
      <c r="B17" s="442">
        <f>IF(ISNUMBER(NºAsuntos!G17/NºAsuntos!E17),NºAsuntos!G17/NºAsuntos!E17," - ")</f>
        <v>1.0555555555555556</v>
      </c>
      <c r="C17" s="443">
        <f>IF(ISNUMBER(NºAsuntos!I17/NºAsuntos!G17),NºAsuntos!I17/NºAsuntos!G17," - ")</f>
        <v>1.4736842105263157</v>
      </c>
      <c r="D17" s="444">
        <f>IF(ISNUMBER('Resol  Asuntos'!D17/NºAsuntos!G17),'Resol  Asuntos'!D17/NºAsuntos!G17," - ")</f>
        <v>0.10526315789473684</v>
      </c>
      <c r="E17" s="445">
        <f>IF(ISNUMBER((NºAsuntos!C17+NºAsuntos!E17)/NºAsuntos!G17),(NºAsuntos!C17+NºAsuntos!E17)/NºAsuntos!G17," - ")</f>
        <v>2.4736842105263159</v>
      </c>
      <c r="G17" s="463"/>
    </row>
    <row r="18" spans="1:7" ht="14.25" thickTop="1" thickBot="1">
      <c r="A18" s="848" t="str">
        <f>Datos!A18</f>
        <v>TOTAL</v>
      </c>
      <c r="B18" s="858">
        <f>IF(ISNUMBER(NºAsuntos!G18/NºAsuntos!E18),NºAsuntos!G18/NºAsuntos!E18," - ")</f>
        <v>1.2849999999999999</v>
      </c>
      <c r="C18" s="859">
        <f>IF(ISNUMBER(NºAsuntos!I18/NºAsuntos!G18),NºAsuntos!I18/NºAsuntos!G18," - ")</f>
        <v>1.3073929961089494</v>
      </c>
      <c r="D18" s="862">
        <f>IF(ISNUMBER('Resol  Asuntos'!D18/NºAsuntos!G18),'Resol  Asuntos'!D18/NºAsuntos!G18," - ")</f>
        <v>0.14007782101167315</v>
      </c>
      <c r="E18" s="861">
        <f>IF(ISNUMBER((NºAsuntos!C18+NºAsuntos!E18)/NºAsuntos!G18),(NºAsuntos!C18+NºAsuntos!E18)/NºAsuntos!G18," - ")</f>
        <v>2.2762645914396886</v>
      </c>
      <c r="G18" s="463"/>
    </row>
    <row r="19" spans="1:7" ht="15.75" customHeight="1" thickTop="1" thickBot="1">
      <c r="A19" s="793" t="str">
        <f>Datos!A19</f>
        <v>TOTAL JURISDICCIONES</v>
      </c>
      <c r="B19" s="808">
        <f>IF(ISNUMBER(NºAsuntos!G19/NºAsuntos!E19),NºAsuntos!G19/NºAsuntos!E19," - ")</f>
        <v>1.5013333333333334</v>
      </c>
      <c r="C19" s="809">
        <f>IF(ISNUMBER(NºAsuntos!I19/NºAsuntos!G19),NºAsuntos!I19/NºAsuntos!G19," - ")</f>
        <v>3.802841918294849</v>
      </c>
      <c r="D19" s="810">
        <f>IF(ISNUMBER('Resol  Asuntos'!D19/NºAsuntos!G19),'Resol  Asuntos'!D19/NºAsuntos!G19," - ")</f>
        <v>0.15808170515097691</v>
      </c>
      <c r="E19" s="811">
        <f>IF(ISNUMBER((NºAsuntos!C19+NºAsuntos!E19)/NºAsuntos!G19),(NºAsuntos!C19+NºAsuntos!E19)/NºAsuntos!G19," - ")</f>
        <v>4.7868561278863231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4KbJ6T9sAJljDDJuIWU+szq3bzXLxm8wDzHOdvyQx13lUfNUS5SmPeueMobgVxAyqHeBt8MybPns5vdxhhYdA==" saltValue="7Etl2TvBXgnxEJVCPs9f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PURCHENA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10</v>
      </c>
      <c r="AB10" s="334">
        <f>IF(ISNUMBER(Datos!R10),Datos!R10," - ")</f>
        <v>1</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7.5</v>
      </c>
      <c r="AN10" s="244">
        <f>IF(ISNUMBER('Resol  Asuntos'!D10/NºAsuntos!G10),'Resol  Asuntos'!D10/NºAsuntos!G10," - ")</f>
        <v>1</v>
      </c>
      <c r="AO10" s="245">
        <f>IF(ISNUMBER((NºAsuntos!C10+NºAsuntos!E10)/NºAsuntos!G10),(NºAsuntos!C10+NºAsuntos!E10)/NºAsuntos!G10," - ")</f>
        <v>3.25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93</v>
      </c>
      <c r="Y12" s="334">
        <f t="shared" si="0"/>
        <v>93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1710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v>
      </c>
      <c r="AJ12" s="229" t="str">
        <f>IF(ISNUMBER(Datos!BW12),Datos!BW12," - ")</f>
        <v xml:space="preserve"> - </v>
      </c>
      <c r="AK12" s="228" t="str">
        <f>IF(ISNUMBER(Datos!BX12),Datos!BX12," - ")</f>
        <v xml:space="preserve"> - </v>
      </c>
      <c r="AL12" s="243">
        <f>IF(ISNUMBER(NºAsuntos!G12/NºAsuntos!E12),NºAsuntos!G12/NºAsuntos!E12," - ")</f>
        <v>1.776470588235294</v>
      </c>
      <c r="AM12" s="260">
        <f>IF(ISNUMBER(((NºAsuntos!I12/NºAsuntos!G12)*11)/factor_trimestre),((NºAsuntos!I12/NºAsuntos!G12)*11)/factor_trimestre," - ")</f>
        <v>17.831125827814571</v>
      </c>
      <c r="AN12" s="244">
        <f>IF(ISNUMBER('Resol  Asuntos'!D12/NºAsuntos!G12),'Resol  Asuntos'!D12/NºAsuntos!G12," - ")</f>
        <v>0.16225165562913907</v>
      </c>
      <c r="AO12" s="245">
        <f>IF(ISNUMBER((NºAsuntos!C12+NºAsuntos!E12)/NºAsuntos!G12),(NºAsuntos!C12+NºAsuntos!E12)/NºAsuntos!G12," - ")</f>
        <v>6.943708609271523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9</v>
      </c>
      <c r="G13" s="866">
        <f t="shared" si="3"/>
        <v>8</v>
      </c>
      <c r="H13" s="865">
        <f t="shared" si="3"/>
        <v>0</v>
      </c>
      <c r="I13" s="867">
        <f t="shared" si="3"/>
        <v>0</v>
      </c>
      <c r="J13" s="867">
        <f t="shared" si="3"/>
        <v>0</v>
      </c>
      <c r="K13" s="867">
        <f t="shared" si="3"/>
        <v>0</v>
      </c>
      <c r="L13" s="867">
        <f t="shared" si="3"/>
        <v>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93</v>
      </c>
      <c r="Y13" s="868">
        <f t="shared" si="4"/>
        <v>97</v>
      </c>
      <c r="Z13" s="868">
        <f t="shared" si="4"/>
        <v>0</v>
      </c>
      <c r="AA13" s="868">
        <f t="shared" si="4"/>
        <v>10</v>
      </c>
      <c r="AB13" s="868">
        <f t="shared" si="4"/>
        <v>1711</v>
      </c>
      <c r="AC13" s="868">
        <f t="shared" si="4"/>
        <v>11</v>
      </c>
      <c r="AD13" s="868">
        <f t="shared" si="4"/>
        <v>0</v>
      </c>
      <c r="AE13" s="872">
        <f t="shared" si="4"/>
        <v>0</v>
      </c>
      <c r="AF13" s="865">
        <f t="shared" si="4"/>
        <v>0</v>
      </c>
      <c r="AG13" s="873">
        <f t="shared" si="4"/>
        <v>0</v>
      </c>
      <c r="AH13" s="870">
        <f t="shared" si="4"/>
        <v>0</v>
      </c>
      <c r="AI13" s="865">
        <f t="shared" si="4"/>
        <v>53</v>
      </c>
      <c r="AJ13" s="867">
        <f t="shared" si="4"/>
        <v>0</v>
      </c>
      <c r="AK13" s="870">
        <f>SUBTOTAL(9,AK9:AK12)</f>
        <v>0</v>
      </c>
      <c r="AL13" s="874">
        <f>IF(ISNUMBER(NºAsuntos!G13/NºAsuntos!E13),NºAsuntos!G13/NºAsuntos!E13," - ")</f>
        <v>1.7485714285714287</v>
      </c>
      <c r="AM13" s="874">
        <f>IF(ISNUMBER(((NºAsuntos!I13/NºAsuntos!G13)*11)/factor_trimestre),((NºAsuntos!I13/NºAsuntos!G13)*11)/factor_trimestre," - ")</f>
        <v>17.696078431372552</v>
      </c>
      <c r="AN13" s="875">
        <f>IF(ISNUMBER('Resol  Asuntos'!D13/NºAsuntos!G13),'Resol  Asuntos'!D13/NºAsuntos!G13," - ")</f>
        <v>0.17320261437908496</v>
      </c>
      <c r="AO13" s="876">
        <f>IF(ISNUMBER((NºAsuntos!C13+NºAsuntos!E13)/NºAsuntos!G13),(NºAsuntos!C13+NºAsuntos!E13)/NºAsuntos!G13," - ")</f>
        <v>6.8954248366013076</v>
      </c>
      <c r="AP13" s="877" t="str">
        <f t="shared" si="2"/>
        <v xml:space="preserve"> - </v>
      </c>
      <c r="AQ13" s="877">
        <f>IF(ISNUMBER((H13-W13+K13)/(F13)),(H13-W13+K13)/(F13)," - ")</f>
        <v>-0.44444444444444442</v>
      </c>
      <c r="AR13" s="878">
        <f>IF(ISNUMBER((Datos!P13-Datos!Q13)/(Datos!R13-Datos!P13+Datos!Q13)),(Datos!P13-Datos!Q13)/(Datos!R13-Datos!P13+Datos!Q13)," - ")</f>
        <v>-6.9645966337782937E-3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364</v>
      </c>
      <c r="G16" s="333">
        <f>IF(ISNUMBER(IF(D_I="SI",Datos!I16,Datos!I16+Datos!AC16)),IF(D_I="SI",Datos!I16,Datos!I16+Datos!AC16)," - ")</f>
        <v>356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238</v>
      </c>
      <c r="X16" s="226">
        <f>IF(ISNUMBER(Datos!Q16),Datos!Q16," - ")</f>
        <v>0</v>
      </c>
      <c r="Y16" s="334">
        <f t="shared" ref="Y16:Y17" si="7">SUM(W16:X16)</f>
        <v>238</v>
      </c>
      <c r="Z16" s="335" t="str">
        <f>IF(ISNUMBER(Datos!CC16),Datos!CC16," - ")</f>
        <v xml:space="preserve"> - </v>
      </c>
      <c r="AA16" s="332">
        <f>IF(ISNUMBER(IF(D_I="SI",Datos!L16,Datos!L16+Datos!AF16)),IF(D_I="SI",Datos!L16,Datos!L16+Datos!AF16)," - ")</f>
        <v>308</v>
      </c>
      <c r="AB16" s="334">
        <f>IF(ISNUMBER(Datos!R16),Datos!R16," - ")</f>
        <v>18</v>
      </c>
      <c r="AC16" s="334">
        <f t="shared" si="6"/>
        <v>326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1.3076923076923077</v>
      </c>
      <c r="AM16" s="260">
        <f>IF(ISNUMBER(((NºAsuntos!I16/NºAsuntos!G16)*11)/factor_trimestre),((NºAsuntos!I16/NºAsuntos!G16)*11)/factor_trimestre," - ")</f>
        <v>3.882352941176471</v>
      </c>
      <c r="AN16" s="244">
        <f>IF(ISNUMBER('Resol  Asuntos'!D16/NºAsuntos!G16),'Resol  Asuntos'!D16/NºAsuntos!G16," - ")</f>
        <v>0.14285714285714285</v>
      </c>
      <c r="AO16" s="245">
        <f>IF(ISNUMBER((NºAsuntos!C16+NºAsuntos!E16)/NºAsuntos!G16),(NºAsuntos!C16+NºAsuntos!E16)/NºAsuntos!G16," - ")</f>
        <v>2.2605042016806722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28</v>
      </c>
      <c r="AB17" s="334">
        <f>IF(ISNUMBER(Datos!R17),Datos!R17," - ")</f>
        <v>0</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1.0555555555555556</v>
      </c>
      <c r="AM17" s="260">
        <f>IF(ISNUMBER(((NºAsuntos!I17/NºAsuntos!G17)*11)/factor_trimestre),((NºAsuntos!I17/NºAsuntos!G17)*11)/factor_trimestre," - ")</f>
        <v>4.4210526315789469</v>
      </c>
      <c r="AN17" s="244">
        <f>IF(ISNUMBER('Resol  Asuntos'!D17/NºAsuntos!G17),'Resol  Asuntos'!D17/NºAsuntos!G17," - ")</f>
        <v>0.10526315789473684</v>
      </c>
      <c r="AO17" s="245">
        <f>IF(ISNUMBER((NºAsuntos!C17+NºAsuntos!E17)/NºAsuntos!G17),(NºAsuntos!C17+NºAsuntos!E17)/NºAsuntos!G17," - ")</f>
        <v>2.4736842105263159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364</v>
      </c>
      <c r="G18" s="866">
        <f>SUBTOTAL(9,G15:G17)</f>
        <v>385</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257</v>
      </c>
      <c r="X18" s="867">
        <f t="shared" si="11"/>
        <v>0</v>
      </c>
      <c r="Y18" s="868">
        <f t="shared" si="11"/>
        <v>257</v>
      </c>
      <c r="Z18" s="868">
        <f t="shared" si="11"/>
        <v>0</v>
      </c>
      <c r="AA18" s="868">
        <f t="shared" si="11"/>
        <v>336</v>
      </c>
      <c r="AB18" s="868">
        <f t="shared" si="11"/>
        <v>18</v>
      </c>
      <c r="AC18" s="868">
        <f t="shared" si="11"/>
        <v>354</v>
      </c>
      <c r="AD18" s="868">
        <f t="shared" si="11"/>
        <v>0</v>
      </c>
      <c r="AE18" s="872">
        <f t="shared" si="11"/>
        <v>0</v>
      </c>
      <c r="AF18" s="865">
        <f t="shared" si="11"/>
        <v>0</v>
      </c>
      <c r="AG18" s="873">
        <f t="shared" si="11"/>
        <v>0</v>
      </c>
      <c r="AH18" s="870">
        <f t="shared" si="11"/>
        <v>0</v>
      </c>
      <c r="AI18" s="865">
        <f t="shared" si="11"/>
        <v>36</v>
      </c>
      <c r="AJ18" s="867">
        <f t="shared" si="11"/>
        <v>0</v>
      </c>
      <c r="AK18" s="870">
        <f t="shared" si="11"/>
        <v>0</v>
      </c>
      <c r="AL18" s="874">
        <f>IF(ISNUMBER(NºAsuntos!G18/NºAsuntos!E18),NºAsuntos!G18/NºAsuntos!E18," - ")</f>
        <v>1.2849999999999999</v>
      </c>
      <c r="AM18" s="874">
        <f>IF(ISNUMBER(((NºAsuntos!I18/NºAsuntos!G18)*11)/factor_trimestre),((NºAsuntos!I18/NºAsuntos!G18)*11)/factor_trimestre," - ")</f>
        <v>3.9221789883268485</v>
      </c>
      <c r="AN18" s="875">
        <f>IF(ISNUMBER('Resol  Asuntos'!D18/NºAsuntos!G18),'Resol  Asuntos'!D18/NºAsuntos!G18," - ")</f>
        <v>0.14007782101167315</v>
      </c>
      <c r="AO18" s="876">
        <f>IF(ISNUMBER((NºAsuntos!C18+NºAsuntos!E18)/NºAsuntos!G18),(NºAsuntos!C18+NºAsuntos!E18)/NºAsuntos!G18," - ")</f>
        <v>2.2762645914396886</v>
      </c>
      <c r="AP18" s="877" t="str">
        <f t="shared" si="2"/>
        <v xml:space="preserve"> - </v>
      </c>
      <c r="AQ18" s="877">
        <f>IF(ISNUMBER((H18-W18+K18)/(F18)),(H18-W18+K18)/(F18)," - ")</f>
        <v>-0.70604395604395609</v>
      </c>
      <c r="AR18" s="878">
        <f>IF(ISNUMBER((Datos!P18-Datos!Q18)/(Datos!R18-Datos!P18+Datos!Q18)),(Datos!P18-Datos!Q18)/(Datos!R18-Datos!P18+Datos!Q18)," - ")</f>
        <v>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373</v>
      </c>
      <c r="G19" s="821">
        <f t="shared" si="13"/>
        <v>393</v>
      </c>
      <c r="H19" s="820">
        <f t="shared" si="13"/>
        <v>0</v>
      </c>
      <c r="I19" s="822">
        <f t="shared" si="13"/>
        <v>0</v>
      </c>
      <c r="J19" s="822">
        <f t="shared" si="13"/>
        <v>0</v>
      </c>
      <c r="K19" s="881">
        <f t="shared" si="13"/>
        <v>0</v>
      </c>
      <c r="L19" s="822">
        <f t="shared" si="13"/>
        <v>93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261</v>
      </c>
      <c r="X19" s="821">
        <f t="shared" si="14"/>
        <v>93</v>
      </c>
      <c r="Y19" s="828">
        <f t="shared" si="14"/>
        <v>354</v>
      </c>
      <c r="Z19" s="828">
        <f t="shared" si="14"/>
        <v>0</v>
      </c>
      <c r="AA19" s="828">
        <f t="shared" si="14"/>
        <v>346</v>
      </c>
      <c r="AB19" s="828">
        <f t="shared" si="14"/>
        <v>1729</v>
      </c>
      <c r="AC19" s="828">
        <f t="shared" si="14"/>
        <v>365</v>
      </c>
      <c r="AD19" s="828">
        <f t="shared" si="14"/>
        <v>0</v>
      </c>
      <c r="AE19" s="830">
        <f t="shared" si="14"/>
        <v>0</v>
      </c>
      <c r="AF19" s="831">
        <f t="shared" si="14"/>
        <v>0</v>
      </c>
      <c r="AG19" s="832">
        <f t="shared" si="14"/>
        <v>0</v>
      </c>
      <c r="AH19" s="830">
        <f t="shared" si="14"/>
        <v>0</v>
      </c>
      <c r="AI19" s="820">
        <f t="shared" si="14"/>
        <v>89</v>
      </c>
      <c r="AJ19" s="820">
        <f t="shared" si="14"/>
        <v>0</v>
      </c>
      <c r="AK19" s="830">
        <f t="shared" si="14"/>
        <v>0</v>
      </c>
      <c r="AL19" s="884">
        <f>IF(ISNUMBER(NºAsuntos!G19/NºAsuntos!E19),NºAsuntos!G19/NºAsuntos!E19," - ")</f>
        <v>1.5013333333333334</v>
      </c>
      <c r="AM19" s="885">
        <f>IF(ISNUMBER(((NºAsuntos!I19/NºAsuntos!G19)*11)/factor_trimestre),((NºAsuntos!I19/NºAsuntos!G19)*11)/factor_trimestre," - ")</f>
        <v>11.408525754884549</v>
      </c>
      <c r="AN19" s="885">
        <f>IF(ISNUMBER('Resol  Asuntos'!D19/NºAsuntos!G19),'Resol  Asuntos'!D19/NºAsuntos!G19," - ")</f>
        <v>0.15808170515097691</v>
      </c>
      <c r="AO19" s="886">
        <f>IF(ISNUMBER((NºAsuntos!C19+NºAsuntos!E19)/NºAsuntos!G19),(NºAsuntos!C19+NºAsuntos!E19)/NºAsuntos!G19," - ")</f>
        <v>4.7868561278863231</v>
      </c>
      <c r="AP19" s="887" t="str">
        <f t="shared" si="2"/>
        <v xml:space="preserve"> - </v>
      </c>
      <c r="AQ19" s="888">
        <f>IF(OR(ISNUMBER(FIND("01",Criterios!A8,1)),ISNUMBER(FIND("02",Criterios!A8,1)),ISNUMBER(FIND("03",Criterios!A8,1)),ISNUMBER(FIND("04",Criterios!A8,1))),(I19-W19+K19)/(F19-K19),(H19-W19+K19)/(F19-K19))</f>
        <v>-0.69973190348525471</v>
      </c>
      <c r="AR19" s="889">
        <f>IF(ISNUMBER((Datos!P19-Datos!Q19)/(Datos!R19-Datos!P19+Datos!Q19)),(Datos!P19-Datos!Q19)/(Datos!R19-Datos!P19+Datos!Q19)," - ")</f>
        <v>0</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157.19999999999999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204.95934556231714</v>
      </c>
      <c r="G21" s="253">
        <f>IF(ISNUMBER(STDEV(G8:G18)),STDEV(G8:G18),"-")</f>
        <v>195.17351254716917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130.94769948341971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21.914987261384994</v>
      </c>
      <c r="AJ21" s="252">
        <f t="shared" si="18"/>
        <v>0</v>
      </c>
      <c r="AK21" s="254">
        <f t="shared" si="18"/>
        <v>0</v>
      </c>
      <c r="AL21" s="249">
        <f t="shared" si="18"/>
        <v>0.38295506496534637</v>
      </c>
      <c r="AM21" s="250">
        <f t="shared" si="18"/>
        <v>6.760773922384268</v>
      </c>
      <c r="AN21" s="250">
        <f t="shared" si="18"/>
        <v>0.34993488224336128</v>
      </c>
      <c r="AO21" s="251">
        <f t="shared" si="18"/>
        <v>2.2775645646542806</v>
      </c>
      <c r="AP21" s="291" t="str">
        <f t="shared" si="18"/>
        <v>-</v>
      </c>
      <c r="AQ21" s="292">
        <f t="shared" si="18"/>
        <v>0.18497878860710404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o94RKn9otgEgxeXJuhOGafKK/Wuagz8f5skxC8ehbhEOa3EMrTuTavP9x4+XKJYP5jFQxYwJfS45PcE9EriRA==" saltValue="IontXzBNo/9LpPpu1R1V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PURCHENA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v>
      </c>
      <c r="F10" s="348">
        <f>IF(ISNUMBER((Datos!K10-Datos!U10)/Datos!U10),(Datos!K10-Datos!U10)/Datos!U10," - ")</f>
        <v>-0.2</v>
      </c>
      <c r="G10" s="349">
        <f>IF(ISNUMBER((Datos!L10-Datos!V10)/Datos!V10),(Datos!L10-Datos!V10)/Datos!V10," - ")</f>
        <v>0.25</v>
      </c>
      <c r="H10" s="230">
        <f>IF(ISNUMBER((Datos!M10-Datos!W10)/Datos!W10),(Datos!M10-Datos!W10)/Datos!W10," - ")</f>
        <v>1</v>
      </c>
      <c r="I10" s="350">
        <f>IF(ISNUMBER((Tasas!C10-Datos!BE10)/Datos!BE10),(Tasas!C10-Datos!BE10)/Datos!BE10," - ")</f>
        <v>0.56249999999999989</v>
      </c>
      <c r="J10" s="349">
        <f>IF(ISNUMBER((Tasas!D10-Datos!BF10)/Datos!BF10),(Tasas!D10-Datos!BF10)/Datos!BF10," - ")</f>
        <v>1.4999999999999998</v>
      </c>
      <c r="K10" s="351">
        <f>IF(ISNUMBER((Tasas!E10-Datos!BG10)/Datos!BG10),(Tasas!E10-Datos!BG10)/Datos!BG10," - ")</f>
        <v>0.24999999999999994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-7.5471698113207544E-2</v>
      </c>
      <c r="I12" s="350">
        <f>IF(ISNUMBER((Tasas!C12-Datos!BE12)/Datos!BE12),(Tasas!C12-Datos!BE12)/Datos!BE12," - ")</f>
        <v>3.52560056010192E-2</v>
      </c>
      <c r="J12" s="349">
        <f>IF(ISNUMBER((Tasas!D12-Datos!BF12)/Datos!BF12),(Tasas!D12-Datos!BF12)/Datos!BF12," - ")</f>
        <v>-0.46536749538595162</v>
      </c>
      <c r="K12" s="351">
        <f>IF(ISNUMBER((Tasas!E12-Datos!BG12)/Datos!BG12),(Tasas!E12-Datos!BG12)/Datos!BG12," - ")</f>
        <v>3.002614794359864E-2</v>
      </c>
      <c r="M12" t="e">
        <f>IF(Monitorios="SI",Datos!CE12,0)</f>
        <v>#REF!</v>
      </c>
      <c r="N12" t="e">
        <f>IF(Monitorios="SI",Datos!CF12,0)</f>
        <v>#REF!</v>
      </c>
      <c r="O12" t="e">
        <f>IF(Monitorios="SI",Datos!CG12,0)</f>
        <v>#REF!</v>
      </c>
      <c r="P12" t="e">
        <f>IF(Monitorios="SI",Datos!CH12,0)</f>
        <v>#REF!</v>
      </c>
      <c r="Q12">
        <f>IF(J_V="SI",0,Datos!AG12)</f>
        <v>24</v>
      </c>
      <c r="R12">
        <f>IF(J_V="SI",0,Datos!AH12)</f>
        <v>15</v>
      </c>
      <c r="S12">
        <f>IF(J_V="SI",0,Datos!AI12)</f>
        <v>16</v>
      </c>
      <c r="T12">
        <f>IF(J_V="SI",0,Datos!AJ12)</f>
        <v>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-3.6363636363636362E-2</v>
      </c>
      <c r="I13" s="357">
        <f>IF(ISNUMBER((Tasas!C13-Datos!BE13)/Datos!BE13),(Tasas!C13-Datos!BE13)/Datos!BE13," - ")</f>
        <v>4.5723510287649316E-2</v>
      </c>
      <c r="J13" s="355">
        <f>IF(ISNUMBER((Tasas!D13-Datos!BF13)/Datos!BF13),(Tasas!D13-Datos!BF13)/Datos!BF13," - ")</f>
        <v>-0.43365494345886502</v>
      </c>
      <c r="K13" s="358">
        <f>IF(ISNUMBER((Tasas!E13-Datos!BG13)/Datos!BG13),(Tasas!E13-Datos!BG13)/Datos!BG13," - ")</f>
        <v>3.8346137675343145E-2</v>
      </c>
      <c r="M13" t="e">
        <f>IF(Monitorios="SI",Datos!CE13,0)</f>
        <v>#REF!</v>
      </c>
      <c r="N13" t="e">
        <f>IF(Monitorios="SI",Datos!CF13,0)</f>
        <v>#REF!</v>
      </c>
      <c r="O13" t="e">
        <f>IF(Monitorios="SI",Datos!CG13,0)</f>
        <v>#REF!</v>
      </c>
      <c r="P13" t="e">
        <f>IF(Monitorios="SI",Datos!CH13,0)</f>
        <v>#REF!</v>
      </c>
      <c r="Q13">
        <f>IF(J_V="SI",0,Datos!AG13)</f>
        <v>24</v>
      </c>
      <c r="R13">
        <f>IF(J_V="SI",0,Datos!AH13)</f>
        <v>15</v>
      </c>
      <c r="S13">
        <f>IF(J_V="SI",0,Datos!AI13)</f>
        <v>16</v>
      </c>
      <c r="T13">
        <f>IF(J_V="SI",0,Datos!AJ13)</f>
        <v>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0.18272425249169436</v>
      </c>
      <c r="E16" s="348">
        <f>IF(ISNUMBER(
   IF(D_I="SI",(Datos!J16-Datos!T16)/Datos!T16,(Datos!J16+Datos!AD16-(Datos!T16+Datos!AL16))/(Datos!T16+Datos!AL16))
     ),IF(D_I="SI",(Datos!J16-Datos!T16)/Datos!T16,(Datos!J16+Datos!AD16-(Datos!T16+Datos!AL16))/(Datos!T16+Datos!AL16))," - ")</f>
        <v>0.38931297709923662</v>
      </c>
      <c r="F16" s="348">
        <f>IF(ISNUMBER(
   IF(D_I="SI",(Datos!K16-Datos!U16)/Datos!U16,(Datos!K16+Datos!AE16-(Datos!U16+Datos!AM16))/(Datos!U16+Datos!AM16))
     ),IF(D_I="SI",(Datos!K16-Datos!U16)/Datos!U16,(Datos!K16+Datos!AE16-(Datos!U16+Datos!AM16))/(Datos!U16+Datos!AM16))," - ")</f>
        <v>1.0695652173913044</v>
      </c>
      <c r="G16" s="349">
        <f>IF(ISNUMBER(
   IF(D_I="SI",(Datos!L16-Datos!V16)/Datos!V16,(Datos!L16+Datos!AF16-(Datos!V16+Datos!AN16))/(Datos!V16+Datos!AN16))
     ),IF(D_I="SI",(Datos!L16-Datos!V16)/Datos!V16,(Datos!L16+Datos!AF16-(Datos!V16+Datos!AN16))/(Datos!V16+Datos!AN16))," - ")</f>
        <v>-2.8391167192429023E-2</v>
      </c>
      <c r="H16" s="230">
        <f>IF(ISNUMBER((Datos!M16-Datos!W16)/Datos!W16),(Datos!M16-Datos!W16)/Datos!W16," - ")</f>
        <v>0.41666666666666669</v>
      </c>
      <c r="I16" s="350">
        <f>IF(ISNUMBER((Tasas!C16-Datos!BE16)/Datos!BE16),(Tasas!C16-Datos!BE16)/Datos!BE16," - ")</f>
        <v>-0.53052514381146776</v>
      </c>
      <c r="J16" s="349">
        <f>IF(ISNUMBER((Tasas!D16-Datos!BF16)/Datos!BF16),(Tasas!D16-Datos!BF16)/Datos!BF16," - ")</f>
        <v>-0.31547619047619047</v>
      </c>
      <c r="K16" s="351">
        <f>IF(ISNUMBER((Tasas!E16-Datos!BG16)/Datos!BG16),(Tasas!E16-Datos!BG16)/Datos!BG16," - ")</f>
        <v>-0.39824540927482105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0.2608695652173913</v>
      </c>
      <c r="E17" s="348">
        <f>IF(ISNUMBER(
   IF(D_I="SI",(Datos!J17-Datos!T17)/Datos!T17,(Datos!J17+Datos!AD17-(Datos!T17+Datos!AL17))/(Datos!T17+Datos!AL17))
     ),IF(D_I="SI",(Datos!J17-Datos!T17)/Datos!T17,(Datos!J17+Datos!AD17-(Datos!T17+Datos!AL17))/(Datos!T17+Datos!AL17))," - ")</f>
        <v>-0.35714285714285715</v>
      </c>
      <c r="F17" s="348">
        <f>IF(ISNUMBER(
   IF(D_I="SI",(Datos!K17-Datos!U17)/Datos!U17,(Datos!K17+Datos!AE17-(Datos!U17+Datos!AM17))/(Datos!U17+Datos!AM17))
     ),IF(D_I="SI",(Datos!K17-Datos!U17)/Datos!U17,(Datos!K17+Datos!AE17-(Datos!U17+Datos!AM17))/(Datos!U17+Datos!AM17))," - ")</f>
        <v>-0.17391304347826086</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-0.6</v>
      </c>
      <c r="I17" s="350">
        <f>IF(ISNUMBER((Tasas!C17-Datos!BE17)/Datos!BE17),(Tasas!C17-Datos!BE17)/Datos!BE17," - ")</f>
        <v>0.21052631578947353</v>
      </c>
      <c r="J17" s="349">
        <f>IF(ISNUMBER((Tasas!D17-Datos!BF17)/Datos!BF17),(Tasas!D17-Datos!BF17)/Datos!BF17," - ")</f>
        <v>-0.51578947368421058</v>
      </c>
      <c r="K17" s="351">
        <f>IF(ISNUMBER((Tasas!E17-Datos!BG17)/Datos!BG17),(Tasas!E17-Datos!BG17)/Datos!BG17," - ")</f>
        <v>0.11558307533539734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0.18827160493827161</v>
      </c>
      <c r="E18" s="354">
        <f>IF(ISNUMBER(
   IF(D_I="SI",(Datos!J18-Datos!T18)/Datos!T18,(Datos!J18+Datos!AD18-(Datos!T18+Datos!AL18))/(Datos!T18+Datos!AL18))
     ),IF(D_I="SI",(Datos!J18-Datos!T18)/Datos!T18,(Datos!J18+Datos!AD18-(Datos!T18+Datos!AL18))/(Datos!T18+Datos!AL18))," - ")</f>
        <v>0.25786163522012578</v>
      </c>
      <c r="F18" s="354">
        <f>IF(ISNUMBER(
   IF(D_I="SI",(Datos!K18-Datos!U18)/Datos!U18,(Datos!K18+Datos!AE18-(Datos!U18+Datos!AM18))/(Datos!U18+Datos!AM18))
     ),IF(D_I="SI",(Datos!K18-Datos!U18)/Datos!U18,(Datos!K18+Datos!AE18-(Datos!U18+Datos!AM18))/(Datos!U18+Datos!AM18))," - ")</f>
        <v>0.8623188405797102</v>
      </c>
      <c r="G18" s="355">
        <f>IF(ISNUMBER(
   IF(D_I="SI",(Datos!L18-Datos!V18)/Datos!V18,(Datos!L18+Datos!AF18-(Datos!V18+Datos!AN18))/(Datos!V18+Datos!AN18))
     ),IF(D_I="SI",(Datos!L18-Datos!V18)/Datos!V18,(Datos!L18+Datos!AF18-(Datos!V18+Datos!AN18))/(Datos!V18+Datos!AN18))," - ")</f>
        <v>-2.6086956521739129E-2</v>
      </c>
      <c r="H18" s="356">
        <f>IF(ISNUMBER((Datos!M18-Datos!W18)/Datos!W18),(Datos!M18-Datos!W18)/Datos!W18," - ")</f>
        <v>0.2413793103448276</v>
      </c>
      <c r="I18" s="357">
        <f>IF(ISNUMBER((Tasas!C18-Datos!BE18)/Datos!BE18),(Tasas!C18-Datos!BE18)/Datos!BE18," - ")</f>
        <v>-0.4770428015564202</v>
      </c>
      <c r="J18" s="355">
        <f>IF(ISNUMBER((Tasas!D18-Datos!BF18)/Datos!BF18),(Tasas!D18-Datos!BF18)/Datos!BF18," - ")</f>
        <v>-0.33342278277203807</v>
      </c>
      <c r="K18" s="358">
        <f>IF(ISNUMBER((Tasas!E18-Datos!BG18)/Datos!BG18),(Tasas!E18-Datos!BG18)/Datos!BG18," - ")</f>
        <v>-0.34963868816008897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0.6292134831460674</v>
      </c>
      <c r="E19" s="363">
        <f>IF(ISNUMBER(
   IF(J_V="SI",(Datos!J19-Datos!T19)/Datos!T19,(Datos!J19+Datos!Z19-(Datos!T19+Datos!AH19))/(Datos!T19+Datos!AH19))
     ),IF(J_V="SI",(Datos!J19-Datos!T19)/Datos!T19,(Datos!J19+Datos!Z19-(Datos!T19+Datos!AH19))/(Datos!T19+Datos!AH19))," - ")</f>
        <v>-0.12177985948477751</v>
      </c>
      <c r="F19" s="363">
        <f>IF(ISNUMBER(
   IF(J_V="SI",(Datos!K19-Datos!U19)/Datos!U19,(Datos!K19+Datos!AA19-(Datos!U19+Datos!AI19))/(Datos!U19+Datos!AI19))
     ),IF(J_V="SI",(Datos!K19-Datos!U19)/Datos!U19,(Datos!K19+Datos!AA19-(Datos!U19+Datos!AI19))/(Datos!U19+Datos!AI19))," - ")</f>
        <v>0.63662790697674421</v>
      </c>
      <c r="G19" s="364">
        <f>IF(ISNUMBER(
   IF(J_V="SI",(Datos!L19-Datos!V19)/Datos!V19,(Datos!L19+Datos!AB19-(Datos!V19+Datos!AJ19))/(Datos!V19+Datos!AJ19))
     ),IF(J_V="SI",(Datos!L19-Datos!V19)/Datos!V19,(Datos!L19+Datos!AB19-(Datos!V19+Datos!AJ19))/(Datos!V19+Datos!AJ19))," - ")</f>
        <v>0.42070338420703385</v>
      </c>
      <c r="H19" s="365">
        <f>IF(ISNUMBER((Datos!M19-Datos!W19)/Datos!W19),(Datos!M19-Datos!W19)/Datos!W19," - ")</f>
        <v>5.9523809523809521E-2</v>
      </c>
      <c r="I19" s="362">
        <f>IF(ISNUMBER((Tasas!C19-Datos!BE19)/Datos!BE19),(Tasas!C19-Datos!BE19)/Datos!BE19," - ")</f>
        <v>-0.13193256808664355</v>
      </c>
      <c r="J19" s="363">
        <f>IF(ISNUMBER((Tasas!D19-Datos!BF19)/Datos!BF19),(Tasas!D19-Datos!BF19)/Datos!BF19," - ")</f>
        <v>-0.40891188508765147</v>
      </c>
      <c r="K19" s="364">
        <f>IF(ISNUMBER((Tasas!E19-Datos!BG19)/Datos!BG19),(Tasas!E19-Datos!BG19)/Datos!BG19," - ")</f>
        <v>-0.11038438249978645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0.11116624434761513</v>
      </c>
      <c r="E21" s="278">
        <f t="shared" si="1"/>
        <v>0.32892685747834588</v>
      </c>
      <c r="F21" s="278">
        <f t="shared" si="1"/>
        <v>0.67106653005098793</v>
      </c>
      <c r="G21" s="279">
        <f t="shared" si="1"/>
        <v>0.13469643233153644</v>
      </c>
      <c r="H21" s="285">
        <f t="shared" si="1"/>
        <v>0.53845599210428108</v>
      </c>
      <c r="I21" s="277">
        <f t="shared" si="1"/>
        <v>0.41693110875459644</v>
      </c>
      <c r="J21" s="278">
        <f t="shared" si="1"/>
        <v>0.78465235809026435</v>
      </c>
      <c r="K21" s="279">
        <f t="shared" si="1"/>
        <v>0.261783442107275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XqZm0G9KLLJof4LRjyrSNJNxBBHuXFMLXthtHfkdZOdu3iNcLSAEjENa5bGhkmIItXQ9dc9ivUZXjZS7gQppw==" saltValue="RLbK/wJABriAo0sizEgC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